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List" sheetId="1" r:id="rId4"/>
    <sheet state="visible" name="Product List Salties" sheetId="2" r:id="rId5"/>
    <sheet state="visible" name="Product List - Dashboard" sheetId="3" r:id="rId6"/>
    <sheet state="visible" name="Product List analysis" sheetId="4" r:id="rId7"/>
    <sheet state="visible" name="tagging table" sheetId="5" r:id="rId8"/>
    <sheet state="visible" name="Product List OLD (G tans)" sheetId="6" r:id="rId9"/>
    <sheet state="visible" name="Meta data" sheetId="7" r:id="rId10"/>
    <sheet state="visible" name="Product List (bad)" sheetId="8" r:id="rId11"/>
    <sheet state="visible" name="Product List (demo)" sheetId="9" r:id="rId12"/>
  </sheets>
  <definedNames>
    <definedName hidden="1" localSheetId="0" name="_xlnm._FilterDatabase">'Product List'!$A$1:$V$758</definedName>
    <definedName hidden="1" localSheetId="1" name="_xlnm._FilterDatabase">'Product List Salties'!$A$1:$U$725</definedName>
    <definedName hidden="1" localSheetId="2" name="_xlnm._FilterDatabase">'Product List - Dashboard'!$A$1:$L$1449</definedName>
    <definedName hidden="1" localSheetId="3" name="_xlnm._FilterDatabase">'Product List analysis'!$A$1:$U$725</definedName>
    <definedName hidden="1" localSheetId="4" name="_xlnm._FilterDatabase">'tagging table'!$A$1:$H$723</definedName>
    <definedName hidden="1" localSheetId="0" name="Z_903C50A8_AD16_42CC_B57C_ACA124F0D9CD_.wvu.FilterData">'Product List'!$A$2:$U$733</definedName>
    <definedName hidden="1" localSheetId="1" name="Z_903C50A8_AD16_42CC_B57C_ACA124F0D9CD_.wvu.FilterData">'Product List Salties'!$A$1:$T$725</definedName>
    <definedName hidden="1" localSheetId="2" name="Z_903C50A8_AD16_42CC_B57C_ACA124F0D9CD_.wvu.FilterData">'Product List - Dashboard'!$A$1:$L$1449</definedName>
    <definedName hidden="1" localSheetId="3" name="Z_903C50A8_AD16_42CC_B57C_ACA124F0D9CD_.wvu.FilterData">'Product List analysis'!$A$1:$T$725</definedName>
  </definedNames>
  <calcPr/>
  <customWorkbookViews>
    <customWorkbookView activeSheetId="0" maximized="1" windowHeight="0" windowWidth="0" guid="{903C50A8-AD16-42CC-B57C-ACA124F0D9CD}" name="Filter 1"/>
  </customWorkbookViews>
</workbook>
</file>

<file path=xl/sharedStrings.xml><?xml version="1.0" encoding="utf-8"?>
<sst xmlns="http://schemas.openxmlformats.org/spreadsheetml/2006/main" count="42215" uniqueCount="6951">
  <si>
    <t>SKU</t>
  </si>
  <si>
    <t>Class-Name</t>
  </si>
  <si>
    <t>Width</t>
  </si>
  <si>
    <t>Height</t>
  </si>
  <si>
    <t>Depth</t>
  </si>
  <si>
    <t>Shelf-Count</t>
  </si>
  <si>
    <t>Image-URL</t>
  </si>
  <si>
    <t>Hebrew-Brand</t>
  </si>
  <si>
    <t>Brand</t>
  </si>
  <si>
    <t>Model-Name</t>
  </si>
  <si>
    <t>Hebrew-Description</t>
  </si>
  <si>
    <t>English-Description</t>
  </si>
  <si>
    <t>Annotations-Name</t>
  </si>
  <si>
    <t>in Planogram?</t>
  </si>
  <si>
    <t>Category</t>
  </si>
  <si>
    <t>Sub-Category</t>
  </si>
  <si>
    <t>Power-SKU</t>
  </si>
  <si>
    <t>Size</t>
  </si>
  <si>
    <t>draft</t>
  </si>
  <si>
    <t>draft2</t>
  </si>
  <si>
    <t>brand</t>
  </si>
  <si>
    <t>Shelf</t>
  </si>
  <si>
    <t>Abadi_Abadi cookies Oriental taste with salt 400g</t>
  </si>
  <si>
    <t>עבאדי</t>
  </si>
  <si>
    <t>Abadi</t>
  </si>
  <si>
    <t>עבאדי עוגיות מזרחיות בטעם מלח 400 גר</t>
  </si>
  <si>
    <t>Abadi cookies Oriental taste with salt 400g</t>
  </si>
  <si>
    <t>Abadi_856591000062</t>
  </si>
  <si>
    <t>Yes</t>
  </si>
  <si>
    <t>מאפים מלוחים</t>
  </si>
  <si>
    <t>עוגיות מזרחיות</t>
  </si>
  <si>
    <t>Ebadi_Abadi cookies Oriental taste with salt 400g_856591000062</t>
  </si>
  <si>
    <t>Pretzels</t>
  </si>
  <si>
    <t>Abadi_Eastern Abadi cookies, 400g</t>
  </si>
  <si>
    <t>עוגיות מזרחיות עבאדי, 400 גרם</t>
  </si>
  <si>
    <t>Eastern Abadi cookies, 400g</t>
  </si>
  <si>
    <t>Abadi_2132011</t>
  </si>
  <si>
    <t>No</t>
  </si>
  <si>
    <t>Ebadi_Eastern Abadi cookies, 400g_7290002132011</t>
  </si>
  <si>
    <t>****Ebadi_7290002132011</t>
  </si>
  <si>
    <t>Abadi_Ebadi ottomans extra crispy biscuits 400g</t>
  </si>
  <si>
    <t>עבאדי עוגיות מזרחיות פריך במיוחד 400 גרם</t>
  </si>
  <si>
    <t>Ebadi ottomans extra crispy biscuits 400g</t>
  </si>
  <si>
    <t>Abadi_856591000109</t>
  </si>
  <si>
    <t>Ebadi_Ebadi ottomans extra crispy biscuits 400g_856591000109</t>
  </si>
  <si>
    <t>Al-Nakhla-with-hel-250g_Al Nakhla coffee with cardamom 250g</t>
  </si>
  <si>
    <t>אל נחלה</t>
  </si>
  <si>
    <t>Al Nakhla with hel 250g</t>
  </si>
  <si>
    <t>קפה אל נח'לה עם הל 250 גרם</t>
  </si>
  <si>
    <t>Al Nakhla coffee with cardamom 250g</t>
  </si>
  <si>
    <t>Nakhleh-Caffe_2771111</t>
  </si>
  <si>
    <t>קפה טורקי</t>
  </si>
  <si>
    <t>קפה טורקי טחון</t>
  </si>
  <si>
    <t>Al-Nakhla_Al Nakhla coffee with cardamom 250g_7290002771111</t>
  </si>
  <si>
    <t>****Al Nakhla_7290002771111</t>
  </si>
  <si>
    <t>Hot Beverage</t>
  </si>
  <si>
    <t>AlmondsDrinkTnuva_Fresh almond drink 1 liter</t>
  </si>
  <si>
    <t>תנובה</t>
  </si>
  <si>
    <t>AlmondsDrinkTnuva</t>
  </si>
  <si>
    <t>משקה שקדים טרי 1 ליטר</t>
  </si>
  <si>
    <t>Fresh almond drink 1 liter</t>
  </si>
  <si>
    <t>AlmondsDrinkTnuva_7290014760141</t>
  </si>
  <si>
    <t>משקאות תחליפי סויה</t>
  </si>
  <si>
    <t>תחליפי סויה אחרים</t>
  </si>
  <si>
    <t>yield_Fresh almond drink 1 liter_7290014760141</t>
  </si>
  <si>
    <t>****yield_7290014760141</t>
  </si>
  <si>
    <t>Alternative_Fortified soy drink 1 liter</t>
  </si>
  <si>
    <t>Alternative</t>
  </si>
  <si>
    <t>משקה סויה מועשר 1 ליטר</t>
  </si>
  <si>
    <t>Fortified soy drink 1 liter</t>
  </si>
  <si>
    <t>Alternative_4125578</t>
  </si>
  <si>
    <t>משקאות סויה</t>
  </si>
  <si>
    <t>סויה מצונן טבעי</t>
  </si>
  <si>
    <t>yield_Fortified soy drink 1 liter_4125578</t>
  </si>
  <si>
    <t>****yield_4125578</t>
  </si>
  <si>
    <t>Alternative_Oat drink</t>
  </si>
  <si>
    <t>משקה שיבולת שועל</t>
  </si>
  <si>
    <t>Oat drink</t>
  </si>
  <si>
    <t>Alternative_7290110325619</t>
  </si>
  <si>
    <t>yield_Oat drink_7290110325619</t>
  </si>
  <si>
    <t>****yield_7290110325619</t>
  </si>
  <si>
    <t>Alternative_Vanilla soy drink 1 liter</t>
  </si>
  <si>
    <t>משקה סויה וניל 1 ליטר</t>
  </si>
  <si>
    <t>Vanilla soy drink 1 liter</t>
  </si>
  <si>
    <t>Alternative_4125585</t>
  </si>
  <si>
    <t>סויה מצונן בטעמים</t>
  </si>
  <si>
    <t>yield_Vanilla soy drink 1 liter_4125585</t>
  </si>
  <si>
    <t>****yield_4125585</t>
  </si>
  <si>
    <t>AlternativeDrink250_BIO soy drink apple raspberry</t>
  </si>
  <si>
    <t>AlternativeDrink250</t>
  </si>
  <si>
    <t>משקה סויה BIO פטל תפוח</t>
  </si>
  <si>
    <t>BIO soy drink apple raspberry</t>
  </si>
  <si>
    <t>AlternativeDrink250_7290014763289</t>
  </si>
  <si>
    <t>תחליפי חלב וטופו</t>
  </si>
  <si>
    <t>יוגורט ומעדני סויה וטופו</t>
  </si>
  <si>
    <t>yield_BIO soy drink apple raspberry_7290014763289</t>
  </si>
  <si>
    <t>****yield_7290014763289</t>
  </si>
  <si>
    <t>AlternativeDrink250_BIO soy drink strawberry banana</t>
  </si>
  <si>
    <t>משקה סויה BIO תות בננה</t>
  </si>
  <si>
    <t>BIO soy drink strawberry banana</t>
  </si>
  <si>
    <t>AlternativeDrink250_7290014763272</t>
  </si>
  <si>
    <t>yield_BIO soy drink strawberry banana_7290014763272</t>
  </si>
  <si>
    <t>****yield_7290014763272</t>
  </si>
  <si>
    <t>Apropo_Speaking 100g</t>
  </si>
  <si>
    <t>אפרופו</t>
  </si>
  <si>
    <t>Apropo</t>
  </si>
  <si>
    <t>אפרופו 100 גר'</t>
  </si>
  <si>
    <t>Speaking 100g</t>
  </si>
  <si>
    <t>Apropo_66349</t>
  </si>
  <si>
    <t>חטיפים</t>
  </si>
  <si>
    <t>חטיף תירס קונוס</t>
  </si>
  <si>
    <t>Speaking_Speaking 100g_7290000066349</t>
  </si>
  <si>
    <t>****Speaking_7290000066349</t>
  </si>
  <si>
    <t>Salty snacks</t>
  </si>
  <si>
    <t>Apropo_Speaking 50g</t>
  </si>
  <si>
    <t>אפרופו 50 גר'</t>
  </si>
  <si>
    <t>Speaking 50g</t>
  </si>
  <si>
    <t>Apropo_66332</t>
  </si>
  <si>
    <t>Speaking_Speaking 50g_7290000066332</t>
  </si>
  <si>
    <t>****Speaking_7290000066332</t>
  </si>
  <si>
    <t>Apropo_Speaking Italiano Sunburn 36 * 50 g</t>
  </si>
  <si>
    <t>אפרופו איטליאנו כלפ 36*50גרם</t>
  </si>
  <si>
    <t>Speaking Italiano Sunburn 36 * 50 g</t>
  </si>
  <si>
    <t>Apropo_7290104500572</t>
  </si>
  <si>
    <t>Speaking_Speaking Italiano Sunburn 36 * 50 g_7290104500572</t>
  </si>
  <si>
    <t>Apropo_Speaking of chocolate 40 g 36 *</t>
  </si>
  <si>
    <t>אפרופו שוקולד 36*40גרם</t>
  </si>
  <si>
    <t>Speaking of chocolate 40 g 36 *</t>
  </si>
  <si>
    <t>Apropo_7290106576223</t>
  </si>
  <si>
    <t>Speaking_Speaking of chocolate 40 g 36 *_7290106576223</t>
  </si>
  <si>
    <t>Aqua-Nova_mineral water</t>
  </si>
  <si>
    <t>אקווה נובה</t>
  </si>
  <si>
    <t>Aqua Nova</t>
  </si>
  <si>
    <t>Neviot-minerals</t>
  </si>
  <si>
    <t>מים מינרלים</t>
  </si>
  <si>
    <t>mineral water</t>
  </si>
  <si>
    <t>AquaNova_7290013038432</t>
  </si>
  <si>
    <t>מים בבקבוק</t>
  </si>
  <si>
    <t>בקבוק מים משפחתי 1ל ומעלה</t>
  </si>
  <si>
    <t>Aqua-Nova_mineral water_7290013038432</t>
  </si>
  <si>
    <t>****Aqua Nova_7290013038432</t>
  </si>
  <si>
    <t>AquaNova</t>
  </si>
  <si>
    <t>Arizona_Arizona Blueberry 450 ml</t>
  </si>
  <si>
    <t>אריזונה</t>
  </si>
  <si>
    <t>Arizona</t>
  </si>
  <si>
    <t>Arizona-Nestea-Wissotzki</t>
  </si>
  <si>
    <t>אריזונה אוכמניות 450 מ"ל</t>
  </si>
  <si>
    <t>Arizona Blueberry 450 ml</t>
  </si>
  <si>
    <t>Arizona_613008753382</t>
  </si>
  <si>
    <t>תה קר</t>
  </si>
  <si>
    <t>תה קר אישי</t>
  </si>
  <si>
    <t>Arizona_Arizona Blueberry 450 ml_613008753382</t>
  </si>
  <si>
    <t>****Arizona_613008753382</t>
  </si>
  <si>
    <t>Arizona_Arizona Ginseng and Honey 450 ml</t>
  </si>
  <si>
    <t>אריזונה ג'ינסנג ודבש 450 מ"ל</t>
  </si>
  <si>
    <t>Arizona Ginseng and Honey 450 ml</t>
  </si>
  <si>
    <t>Arizona_613008753320</t>
  </si>
  <si>
    <t>Arizona_Arizona Ginseng and Honey 450 ml_613008753320</t>
  </si>
  <si>
    <t>****Arizona_613008753320</t>
  </si>
  <si>
    <t>Arizona_Arizona Gnsng and honey bottle 1 liter</t>
  </si>
  <si>
    <t>אריזונה גנסנג ודבש בקבוק 1 ליטר</t>
  </si>
  <si>
    <t>Arizona Gnsng and honey bottle 1 liter</t>
  </si>
  <si>
    <t>Arizona_613008742348</t>
  </si>
  <si>
    <t>תה קר משפחתי 1ל ומעלה</t>
  </si>
  <si>
    <t>Arizona_Arizona Gnsng and honey bottle 1 liter_613008742348</t>
  </si>
  <si>
    <t>****Arizona_613008742348</t>
  </si>
  <si>
    <t>Arizona_Arizona Peach 1 liter bottle</t>
  </si>
  <si>
    <t>אריזונה אפרסק בקבוק 1 ליטר</t>
  </si>
  <si>
    <t>Arizona Peach 1 liter bottle</t>
  </si>
  <si>
    <t>Arizona_613008742409</t>
  </si>
  <si>
    <t>Arizona_Arizona Peach 1 liter bottle_613008742409</t>
  </si>
  <si>
    <t>****Arizona_613008742409</t>
  </si>
  <si>
    <t>Arizona_Arizona Peach 450 ml</t>
  </si>
  <si>
    <t>אריזונה אפרסק 450 מ"ל</t>
  </si>
  <si>
    <t>Arizona Peach 450 ml</t>
  </si>
  <si>
    <t>Arizona_613008753290</t>
  </si>
  <si>
    <t>Arizona_Arizona Peach 450 ml_613008753290</t>
  </si>
  <si>
    <t>****Arizona_613008753290</t>
  </si>
  <si>
    <t>Baflot-Elite_Abortion tortillas</t>
  </si>
  <si>
    <t>בפלות עלית</t>
  </si>
  <si>
    <t>Baflot Elite</t>
  </si>
  <si>
    <t>Baflot-Elite</t>
  </si>
  <si>
    <t>בפלות טורטית</t>
  </si>
  <si>
    <t>Abortion tortillas</t>
  </si>
  <si>
    <t>Baflot_7290106656512</t>
  </si>
  <si>
    <t>וופלים</t>
  </si>
  <si>
    <t>וופל מצופה</t>
  </si>
  <si>
    <t>Tortilla_Abortion tortillas_7290106656512</t>
  </si>
  <si>
    <t>****Tortilla_7290106656512</t>
  </si>
  <si>
    <t>Baflot</t>
  </si>
  <si>
    <t>Baflot_Personal chocolate flavor abortions</t>
  </si>
  <si>
    <t>בפלות</t>
  </si>
  <si>
    <t>בפלות בטעם שוקולד אישי</t>
  </si>
  <si>
    <t>Personal chocolate flavor abortions</t>
  </si>
  <si>
    <t>Baflot-mini_7290112334879</t>
  </si>
  <si>
    <t>וופל בסיסי שוקולד</t>
  </si>
  <si>
    <t>Abortions_Personal chocolate flavor abortions_7290112334879</t>
  </si>
  <si>
    <t>****Abortions_7290112334879</t>
  </si>
  <si>
    <t>Baflot-mini</t>
  </si>
  <si>
    <t>Baflot-Elite_Abortion - long wafers and chocolate</t>
  </si>
  <si>
    <t>בפלות - ופלים ארוכים בטעם שוקולד</t>
  </si>
  <si>
    <t>Abortion - long wafers and chocolate</t>
  </si>
  <si>
    <t>Baflot_7290107951104</t>
  </si>
  <si>
    <t>elite_Abortion - long wafers and chocolate_7290107951104</t>
  </si>
  <si>
    <t>****elite_7290107951104</t>
  </si>
  <si>
    <t>Baflot-Elite_Abortion chocolate 500g</t>
  </si>
  <si>
    <t>בפלות בטעם שוקולד 500 גרם</t>
  </si>
  <si>
    <t>Abortion chocolate 500g</t>
  </si>
  <si>
    <t>Baflot_174099</t>
  </si>
  <si>
    <t>elite_Abortion chocolate 500g_7290000174099</t>
  </si>
  <si>
    <t>****elite_7290000174099</t>
  </si>
  <si>
    <t>Waffles &amp; cookies</t>
  </si>
  <si>
    <t>Baflot-Elite_Abortion Truffles Market + 350 crumbs</t>
  </si>
  <si>
    <t>בפלות טרפלס שוק+פרורי 350</t>
  </si>
  <si>
    <t>Abortion Truffles Market + 350 crumbs</t>
  </si>
  <si>
    <t>Baflot_8753883</t>
  </si>
  <si>
    <t>elite_Abortion Truffles Market + 350 crumbs_7290008753883</t>
  </si>
  <si>
    <t>****elite_7290008753883</t>
  </si>
  <si>
    <t>Baflot-Elite_Afifiot</t>
  </si>
  <si>
    <t>אפיפיות</t>
  </si>
  <si>
    <t>Afifiot</t>
  </si>
  <si>
    <t>Afifiot_7290107944243</t>
  </si>
  <si>
    <t>Baflot-Elite_Lemon abortion - long wafers and lemon</t>
  </si>
  <si>
    <t>בפלות לימון - ופלים ארוכים בטעם לימון</t>
  </si>
  <si>
    <t>Lemon abortion - long wafers and lemon</t>
  </si>
  <si>
    <t>Baflot_7290107951111</t>
  </si>
  <si>
    <t>וופל בסיסי בטעמים</t>
  </si>
  <si>
    <t>elite_Lemon abortion - long wafers and lemon_7290107951111</t>
  </si>
  <si>
    <t>****elite_7290107951111</t>
  </si>
  <si>
    <t>Baflot-mini_Personal tortillas abortions</t>
  </si>
  <si>
    <t>טורטית</t>
  </si>
  <si>
    <t>בפלות טורטית אישי</t>
  </si>
  <si>
    <t>Personal tortillas abortions</t>
  </si>
  <si>
    <t>Baflot-mini_7290107943048</t>
  </si>
  <si>
    <t>Tortilla_Personal tortillas abortions_7290107943048</t>
  </si>
  <si>
    <t>****Tortilla_7290107943048</t>
  </si>
  <si>
    <t>Baflot-mini_Truffles abortions personal crumbs</t>
  </si>
  <si>
    <t>טראפלס</t>
  </si>
  <si>
    <t>בפלות טראפלס פירורים אישי</t>
  </si>
  <si>
    <t>Truffles abortions personal crumbs</t>
  </si>
  <si>
    <t>Baflot-mini_7290107945332</t>
  </si>
  <si>
    <t>וופל עם תוספות</t>
  </si>
  <si>
    <t>Truffles_Truffles abortions personal crumbs_7290107945332</t>
  </si>
  <si>
    <t>****Truffles_7290107945332</t>
  </si>
  <si>
    <t>Bamba_Bamba 80 g</t>
  </si>
  <si>
    <t>במבה</t>
  </si>
  <si>
    <t>Bamba</t>
  </si>
  <si>
    <t>במבה 80 גר'</t>
  </si>
  <si>
    <t>Bamba 80 g</t>
  </si>
  <si>
    <t>Bamba_66318</t>
  </si>
  <si>
    <t>חטיפי בוטנים</t>
  </si>
  <si>
    <t>Bamba_Bamba 80 g_7290000066318</t>
  </si>
  <si>
    <t>****Bamba_7290000066318</t>
  </si>
  <si>
    <t>Bamba_Bamba Birthday 80 g</t>
  </si>
  <si>
    <t>במבה יום הולדת 80 גר'</t>
  </si>
  <si>
    <t>Bamba Birthday 80 g</t>
  </si>
  <si>
    <t>Bamba_68770</t>
  </si>
  <si>
    <t>Bamba_Bamba Birthday 80 g_7290000068770</t>
  </si>
  <si>
    <t>****Bamba_7290000068770</t>
  </si>
  <si>
    <t>Bamba_Bamba Nougat 150g 24 *</t>
  </si>
  <si>
    <t>במבה נוגט 24*150גרם</t>
  </si>
  <si>
    <t>Bamba Nougat 150g 24 *</t>
  </si>
  <si>
    <t>Bamba_7290111565656</t>
  </si>
  <si>
    <t>Bamba_Bamba Nougat 150g 24 *_7290111565656</t>
  </si>
  <si>
    <t>Bamba_Bamba Nougat mildly sweet 60 grams</t>
  </si>
  <si>
    <t>במבה נוגט במתיקות מעודנת 60 גרם</t>
  </si>
  <si>
    <t>Bamba Nougat mildly sweet 60 grams</t>
  </si>
  <si>
    <t>Bamba_7290112966582</t>
  </si>
  <si>
    <t>Bamba_Bamba Nougat mildly sweet 60 grams_7290112966582</t>
  </si>
  <si>
    <t>Bamba_Sunburn Classic Bamba 18 x 200 g</t>
  </si>
  <si>
    <t>במבה קלאסי כלפ.18*200גרם</t>
  </si>
  <si>
    <t>Sunburn Classic Bamba 18 x 200 g</t>
  </si>
  <si>
    <t>Bamba_7290104508943</t>
  </si>
  <si>
    <t>Bamba_Sunburn Classic Bamba 18 x 200 g_7290104508943</t>
  </si>
  <si>
    <t>Bar-bary_Almond nuts snack bar raisins and honey, 27 grams</t>
  </si>
  <si>
    <t>ברבריא</t>
  </si>
  <si>
    <t>Bar-bary</t>
  </si>
  <si>
    <t>חטיף בר אגוזים שקדים צימוקים ודבש, 27 גרם</t>
  </si>
  <si>
    <t>Almond nuts snack bar raisins and honey, 27 grams</t>
  </si>
  <si>
    <t>Bar-bary_6855039</t>
  </si>
  <si>
    <t>חטיפי בריאות</t>
  </si>
  <si>
    <t>חטיף בריאות אישי</t>
  </si>
  <si>
    <t>Barbariana_Almond nuts snack bar raisins and honey, 27 grams_7290006855039</t>
  </si>
  <si>
    <t>****Barbariana_7290006855039</t>
  </si>
  <si>
    <t>Cashiers</t>
  </si>
  <si>
    <t>Bar-bary_Palm and banana snack gluten - Barbariana</t>
  </si>
  <si>
    <t>חטיף תמרים ובננה ללא גלוטן – ברבריא</t>
  </si>
  <si>
    <t>Palm and banana snack gluten - Barbariana</t>
  </si>
  <si>
    <t>Bar-bary_6855015</t>
  </si>
  <si>
    <t>Barbariana_Palm and banana snack gluten - Barbariana_7290006855015</t>
  </si>
  <si>
    <t>****Barbariana_7290006855015</t>
  </si>
  <si>
    <t>Bar-bary_Snack bar and cashew cereals cranberry, 27 grams</t>
  </si>
  <si>
    <t>חטיף בר דגנים קשיו וחמוציות, 27 גרם</t>
  </si>
  <si>
    <t>Snack bar and cashew cereals cranberry, 27 grams</t>
  </si>
  <si>
    <t>Bar-bary_6855046</t>
  </si>
  <si>
    <t>Barbariana_Snack bar and cashew cereals cranberry, 27 grams_7290006855046</t>
  </si>
  <si>
    <t>****Barbariana_7290006855046</t>
  </si>
  <si>
    <t>Bar-bary_Snack Bar cereals dates and nuts, 30 g</t>
  </si>
  <si>
    <t>חטיף בר דגנים תמרים ואגוזים, 30 גרם</t>
  </si>
  <si>
    <t>Snack Bar cereals dates and nuts, 30 g</t>
  </si>
  <si>
    <t>Bar-bary_6855008</t>
  </si>
  <si>
    <t>Barbariana_Snack Bar cereals dates and nuts, 30 g_7290006855008</t>
  </si>
  <si>
    <t>****Barbariana_7290006855008</t>
  </si>
  <si>
    <t>bazooka_Bubble gum without sugar, 28 grams</t>
  </si>
  <si>
    <t>בזוקה</t>
  </si>
  <si>
    <t>bazooka</t>
  </si>
  <si>
    <t>מסטיק בזוקה ללא סוכר, 28 גרם</t>
  </si>
  <si>
    <t>Bubble gum without sugar, 28 grams</t>
  </si>
  <si>
    <t>Bazuka_7290102035007</t>
  </si>
  <si>
    <t>מסטיקים ללא סוכר</t>
  </si>
  <si>
    <t>מסטיק לל"ס קופסה</t>
  </si>
  <si>
    <t>bazooka_Bubble gum without sugar, 28 grams_7290102035007</t>
  </si>
  <si>
    <t>****bazooka_7290102035007</t>
  </si>
  <si>
    <t>Bazuka</t>
  </si>
  <si>
    <t>Be-Kind_I Kind roasted nuts 40g</t>
  </si>
  <si>
    <t>בי קיינד</t>
  </si>
  <si>
    <t>Be Kind</t>
  </si>
  <si>
    <t>בי קיינד אגוזים קלויים 40 גרם</t>
  </si>
  <si>
    <t>I Kind roasted nuts 40g</t>
  </si>
  <si>
    <t>Be Kind_602652258244</t>
  </si>
  <si>
    <t>חטיפי דגנים מבוגרים</t>
  </si>
  <si>
    <t>חטיפי דגנים מבוגרים בודד</t>
  </si>
  <si>
    <t>I-Kind_I Kind roasted nuts 40g_602652258244</t>
  </si>
  <si>
    <t>****I Kind_602652258244</t>
  </si>
  <si>
    <t>BeKind_5000159528320</t>
  </si>
  <si>
    <t>I-Kind_I Kind roasted nuts 40g_5000159528320</t>
  </si>
  <si>
    <t>****I Kind_5000159528320</t>
  </si>
  <si>
    <t>BeKind</t>
  </si>
  <si>
    <t>Be-Kind_Maple Pecan me Kind 40 g</t>
  </si>
  <si>
    <t>בי קיינד פקאן מייפל 40 גרם</t>
  </si>
  <si>
    <t>Maple Pecan me Kind 40 g</t>
  </si>
  <si>
    <t>BeKind_602652257834</t>
  </si>
  <si>
    <t>I-Kind_Maple Pecan me Kind 40 g_602652257834</t>
  </si>
  <si>
    <t>****I Kind_602652257834</t>
  </si>
  <si>
    <t>BeanZ-250ml_BeanZ cold milky coffee can of 250ml</t>
  </si>
  <si>
    <t>בינז</t>
  </si>
  <si>
    <t>BeanZ 250ml</t>
  </si>
  <si>
    <t>קפה קר BeanZ חלבי פחית 250 מ"ל</t>
  </si>
  <si>
    <t>BeanZ cold milky coffee can of 250ml</t>
  </si>
  <si>
    <t>BeanZ_7290112358752</t>
  </si>
  <si>
    <t>משקאות פונקציונלים/קפה</t>
  </si>
  <si>
    <t>משקאות קפה בפחית</t>
  </si>
  <si>
    <t>BeanZ_BeanZ cold milky coffee can of 250ml_7290112358752</t>
  </si>
  <si>
    <t>****BeanZ_7290112358752</t>
  </si>
  <si>
    <t>BeanZ-no-milk-no-sugar-250ml_BeanZ iced coffee without milk and sugar in a can of 250 "</t>
  </si>
  <si>
    <t>BeanZ no milk no sugar 250ml</t>
  </si>
  <si>
    <t>קפה קר BeanZ ללא חלב וסוכר פחית 250 מ"</t>
  </si>
  <si>
    <t>BeanZ iced coffee without milk and sugar in a can of 250 "</t>
  </si>
  <si>
    <t>BeanZ_7290112347718</t>
  </si>
  <si>
    <t>BeanZ_BeanZ iced coffee without milk and sugar in a can of 250 "_7290112347718</t>
  </si>
  <si>
    <t>****BeanZ_7290112347718</t>
  </si>
  <si>
    <t>BeanZ-bit-sweetened-250ml_Iced coffee with a little sweetness BeanZ can of 250ml</t>
  </si>
  <si>
    <t>BeanZ bit sweetened 250ml</t>
  </si>
  <si>
    <t>קפה קר BeanZ עם קצת מתיקות פחית 250 מ"ל</t>
  </si>
  <si>
    <t>Iced coffee with a little sweetness BeanZ can of 250ml</t>
  </si>
  <si>
    <t>BeanZ_7290112347725</t>
  </si>
  <si>
    <t>BeanZ_Iced coffee with a little sweetness BeanZ can of 250ml_7290112347725</t>
  </si>
  <si>
    <t>****BeanZ_7290112347725</t>
  </si>
  <si>
    <t>Becks_Becks beer 500 ml</t>
  </si>
  <si>
    <t>בקס</t>
  </si>
  <si>
    <t>Becks</t>
  </si>
  <si>
    <t>Heineken-green-beers</t>
  </si>
  <si>
    <t>בירה בקס 500 מל</t>
  </si>
  <si>
    <t>Becks beer 500 ml</t>
  </si>
  <si>
    <t>Becks_42061939</t>
  </si>
  <si>
    <t>בירה לבנה בודד</t>
  </si>
  <si>
    <t>בירה לבנה בודד בקבוק 500 מ"ל</t>
  </si>
  <si>
    <t>Becks_Becks beer 500 ml_42061939</t>
  </si>
  <si>
    <t>****Becks_42061939</t>
  </si>
  <si>
    <t>Bisli_Bisli Bamba Mix 18 x 200 g</t>
  </si>
  <si>
    <t>ביסלי</t>
  </si>
  <si>
    <t>Bisli</t>
  </si>
  <si>
    <t>ביסלי במבה מיקס 18*200גרם</t>
  </si>
  <si>
    <t>Bisli Bamba Mix 18 x 200 g</t>
  </si>
  <si>
    <t>Bisli_7290111564956</t>
  </si>
  <si>
    <t>Beasley_Beasley Bamba Mix 18 x 200 g_7290111564956</t>
  </si>
  <si>
    <t>Bisli_Bisli Barbecue 190 g</t>
  </si>
  <si>
    <t>ביסלי ברביקיו 190 גר'</t>
  </si>
  <si>
    <t>Bisli Barbecue 190 g</t>
  </si>
  <si>
    <t>Bisli_66219</t>
  </si>
  <si>
    <t>חטיפי חיטה</t>
  </si>
  <si>
    <t>Beasley_Beasley Barbecue 190 g_7290000066219</t>
  </si>
  <si>
    <t>****Beasley_7290000066219</t>
  </si>
  <si>
    <t>Bisli_Bisli barbecue 70 g</t>
  </si>
  <si>
    <t>ביסלי ברביקיו 70 גר'</t>
  </si>
  <si>
    <t>Bisli barbecue 70 g</t>
  </si>
  <si>
    <t>Bisli_66165</t>
  </si>
  <si>
    <t>Beasley_Beasley barbecue 70 g_7290000066165</t>
  </si>
  <si>
    <t>****Beasley_7290000066165</t>
  </si>
  <si>
    <t>Bisli_Bisli falafel 200g</t>
  </si>
  <si>
    <t>ביסלי פלאפל 200 גר'</t>
  </si>
  <si>
    <t>Bisli falafel 200g</t>
  </si>
  <si>
    <t>Bisli_66189</t>
  </si>
  <si>
    <t>Beasley_Beasley falafel 200g_7290000066189</t>
  </si>
  <si>
    <t>****Beasley_7290000066189</t>
  </si>
  <si>
    <t>Bisli_Bisli falafel 70 g</t>
  </si>
  <si>
    <t>ביסלי פלאפל 70 גר'</t>
  </si>
  <si>
    <t>Bisli falafel 70 g</t>
  </si>
  <si>
    <t>Bisli_66134</t>
  </si>
  <si>
    <t>Beasley_Beasley falafel 70 g_7290000066134</t>
  </si>
  <si>
    <t>****Beasley_7290000066134</t>
  </si>
  <si>
    <t>Bisli_Bisli Grill 200g</t>
  </si>
  <si>
    <t>ביסלי גריל 200 גר'</t>
  </si>
  <si>
    <t>Bisli Grill 200g</t>
  </si>
  <si>
    <t>Bisli_66196</t>
  </si>
  <si>
    <t>Beasley_Beasley Grill 200g_7290000066196</t>
  </si>
  <si>
    <t>****Beasley_7290000066196</t>
  </si>
  <si>
    <t>Bisli_Bisli Grill 70 g</t>
  </si>
  <si>
    <t>ביסלי גריל 70 גר'</t>
  </si>
  <si>
    <t>Bisli Grill 70 g</t>
  </si>
  <si>
    <t>Bisli_66141</t>
  </si>
  <si>
    <t>Beasley_Beasley Grill 70 g_7290000066141</t>
  </si>
  <si>
    <t>****Beasley_7290000066141</t>
  </si>
  <si>
    <t>Bisli_Bisli onion 190 g</t>
  </si>
  <si>
    <t>ביסלי בצל 190 גר'</t>
  </si>
  <si>
    <t>Bisli onion 190 g</t>
  </si>
  <si>
    <t>Bisli_66202</t>
  </si>
  <si>
    <t>Beasley_Beasley onion 190 g_7290000066202</t>
  </si>
  <si>
    <t>****Beasley_7290000066202</t>
  </si>
  <si>
    <t>Bisli_Bisli onion 70 g</t>
  </si>
  <si>
    <t>ביסלי בצל 70 גר'</t>
  </si>
  <si>
    <t>Bisli onion 70 g</t>
  </si>
  <si>
    <t>Bisli_66158</t>
  </si>
  <si>
    <t>Beasley_Beasley onion 70 g_7290000066158</t>
  </si>
  <si>
    <t>****Beasley_7290000066158</t>
  </si>
  <si>
    <t>Bisli_Bisli Party Mix 24 * 150 g</t>
  </si>
  <si>
    <t>ביסלי פארטי מיקס 24*150גרם</t>
  </si>
  <si>
    <t>Bisli Party Mix 24 * 150 g</t>
  </si>
  <si>
    <t>Bisli_7290111568206</t>
  </si>
  <si>
    <t>Beasley_Beasley Party Mix 24 * 150 g_7290111568206</t>
  </si>
  <si>
    <t>Bisli_Bisli Pizza 200g</t>
  </si>
  <si>
    <t>ביסלי פיצה 200 גר'</t>
  </si>
  <si>
    <t>Bisli Pizza 200g</t>
  </si>
  <si>
    <t>Bisli_66226</t>
  </si>
  <si>
    <t>Beasley_Beasley Pizza 200g_7290000066226</t>
  </si>
  <si>
    <t>****Beasley_7290000066226</t>
  </si>
  <si>
    <t>Bisli_Bisli pizza 70 g</t>
  </si>
  <si>
    <t>ביסלי פיצה 70 גר'</t>
  </si>
  <si>
    <t>Bisli pizza 70 g</t>
  </si>
  <si>
    <t>Bisli_66172</t>
  </si>
  <si>
    <t>Beasley_Beasley pizza 70 g_7290000066172</t>
  </si>
  <si>
    <t>****Beasley_7290000066172</t>
  </si>
  <si>
    <t>Blu_Blue Day Energy Drink 250 ml</t>
  </si>
  <si>
    <t>בלו</t>
  </si>
  <si>
    <t>Blu</t>
  </si>
  <si>
    <t>Blu-RedBull</t>
  </si>
  <si>
    <t>בלו דיי משקה אנרגיה 250 מל</t>
  </si>
  <si>
    <t>Blue Day Energy Drink 250 ml</t>
  </si>
  <si>
    <t>Blu_5904941751920</t>
  </si>
  <si>
    <t>משקה אנרגיה</t>
  </si>
  <si>
    <t>excise_Blue Day Energy Drink 250 ml_5904941751920</t>
  </si>
  <si>
    <t>****excise_5904941751920</t>
  </si>
  <si>
    <t>Blu_Blue energy drink 250 calories Day 6 ml</t>
  </si>
  <si>
    <t>משקה אנרגיה בלו דיי 6 קלוריות 250 מ"ל</t>
  </si>
  <si>
    <t>Blue energy drink 250 calories Day 6 ml</t>
  </si>
  <si>
    <t>Blu_5904941751241</t>
  </si>
  <si>
    <t>excise_Blue energy drink 250 calories Day 6 ml_5904941751241</t>
  </si>
  <si>
    <t>****excise_5904941751241</t>
  </si>
  <si>
    <t>Blu_Blue Energy Drink 250 ml</t>
  </si>
  <si>
    <t>בלו משקה אנרגיה 250 מל</t>
  </si>
  <si>
    <t>Blue Energy Drink 250 ml</t>
  </si>
  <si>
    <t>Blu_5904941751302</t>
  </si>
  <si>
    <t>excise_Blue Energy Drink 250 ml_5904941751302</t>
  </si>
  <si>
    <t>****excise_5904941751302</t>
  </si>
  <si>
    <t>Blu_Blue energy drink 6 calories Lime 250ml</t>
  </si>
  <si>
    <t>משקה אנרגיה בלו 6 קלוריות ליים 250 מ"ל</t>
  </si>
  <si>
    <t>Blue energy drink 6 calories Lime 250ml</t>
  </si>
  <si>
    <t>Blu_5904941752262</t>
  </si>
  <si>
    <t>excise_Blue energy drink 6 calories Lime 250ml_5904941752262</t>
  </si>
  <si>
    <t>****excise_5904941752262</t>
  </si>
  <si>
    <t>Blu_Blue Mojito Energy Drink 250 ml</t>
  </si>
  <si>
    <t>בלו מוחיטו משקה אנרגיה 250 מל</t>
  </si>
  <si>
    <t>Blue Mojito Energy Drink 250 ml</t>
  </si>
  <si>
    <t>Blu_5904941750312</t>
  </si>
  <si>
    <t>excise_Blue Mojito Energy Drink 250 ml_5904941750312</t>
  </si>
  <si>
    <t>****excise_5904941750312</t>
  </si>
  <si>
    <t>Blu_Blue Watermelon Energy Drink 250 ml</t>
  </si>
  <si>
    <t>בלו אבטיח משקה אנרגיה 250 מל</t>
  </si>
  <si>
    <t>Blue Watermelon Energy Drink 250 ml</t>
  </si>
  <si>
    <t>Blu_5904941751524</t>
  </si>
  <si>
    <t>excise_Blue Watermelon Energy Drink 250 ml_5904941751524</t>
  </si>
  <si>
    <t>****excise_5904941751524</t>
  </si>
  <si>
    <t>Blu_Munster energy drink Ultra</t>
  </si>
  <si>
    <t>משקה אנרגיה מונסטר אולטרה</t>
  </si>
  <si>
    <t>Munster energy drink Ultra</t>
  </si>
  <si>
    <t>Monster_5060639128051</t>
  </si>
  <si>
    <t>excise_Munster energy drink Ultra_5060639128051</t>
  </si>
  <si>
    <t>****excise_5060639128051</t>
  </si>
  <si>
    <t>Monster</t>
  </si>
  <si>
    <t>Blu_Six Blue Sugar Free Energy Drink 250 ml</t>
  </si>
  <si>
    <t>בלו סיקס משקה אנרגיה ללא סוכר 250 מ"ל</t>
  </si>
  <si>
    <t>Six Blue Sugar Free Energy Drink 250 ml</t>
  </si>
  <si>
    <t>Blu_753182231761</t>
  </si>
  <si>
    <t>excise_Six Blue Sugar Free Energy Drink 250 ml_753182231761</t>
  </si>
  <si>
    <t>****excise_753182231761</t>
  </si>
  <si>
    <t>Bounty_Bounty chocolate bar 57 g</t>
  </si>
  <si>
    <t>באונטי</t>
  </si>
  <si>
    <t>Bounty</t>
  </si>
  <si>
    <t>חטיף שוקולד באונטי 57 גרם</t>
  </si>
  <si>
    <t>Bounty chocolate bar 57 g</t>
  </si>
  <si>
    <t>Bounty_40111216</t>
  </si>
  <si>
    <t>חטיפים מתוקים</t>
  </si>
  <si>
    <t>חטיפים בודדים</t>
  </si>
  <si>
    <t>Bounty_Bounty chocolate bar 57 g_40111216</t>
  </si>
  <si>
    <t>****Bounty_40111216</t>
  </si>
  <si>
    <t>Breezer_Breezer - flavored carbonated drink apple Moheli</t>
  </si>
  <si>
    <t>בריזר</t>
  </si>
  <si>
    <t>Breezer</t>
  </si>
  <si>
    <t>Breezer-sparkling-Coco</t>
  </si>
  <si>
    <t>בריזר - משקה כוהלי מוגז בטעם תפוח</t>
  </si>
  <si>
    <t>Breezer - flavored carbonated drink apple Moheli</t>
  </si>
  <si>
    <t>BacardiBreezer_7610113011652</t>
  </si>
  <si>
    <t>משקאות אלכוהולים אחרים</t>
  </si>
  <si>
    <t>אלכוהולים מוכנים לשתיה</t>
  </si>
  <si>
    <t>Breezer_Breezer - flavored carbonated drink apple Moheli_7610113011652</t>
  </si>
  <si>
    <t>****Breezer_7610113011652</t>
  </si>
  <si>
    <t>BacardiBreezer</t>
  </si>
  <si>
    <t>Breezer_Breezer pineapple, a bottle of 275 ml</t>
  </si>
  <si>
    <t>בריזר אננס, בקבוק 275 מ"ל</t>
  </si>
  <si>
    <t>Breezer pineapple, a bottle of 275 ml</t>
  </si>
  <si>
    <t>BacardiBreezer_5010677552387</t>
  </si>
  <si>
    <t>Breezer_Breezer pineapple, a bottle of 275 ml_5010677552387</t>
  </si>
  <si>
    <t>****Breezer_5010677552387</t>
  </si>
  <si>
    <t>Breezer_Watermelon Breezer bottle of 275 ml</t>
  </si>
  <si>
    <t>בריזר אבטיח, בקבוק 275 מ"ל</t>
  </si>
  <si>
    <t>Watermelon Breezer bottle of 275 ml</t>
  </si>
  <si>
    <t>BacardiBreezer_5010677554398</t>
  </si>
  <si>
    <t>Breezer_Watermelon Breezer bottle of 275 ml_5010677554398</t>
  </si>
  <si>
    <t>****Breezer_5010677554398</t>
  </si>
  <si>
    <t>Budweiser_Beer Advisor</t>
  </si>
  <si>
    <t>באדוויזר</t>
  </si>
  <si>
    <t>Budweiser</t>
  </si>
  <si>
    <t>Goldstar-brown-beers</t>
  </si>
  <si>
    <t>בירה באדוויזר</t>
  </si>
  <si>
    <t>Beer Advisor</t>
  </si>
  <si>
    <t>Budweiser_5410228267508</t>
  </si>
  <si>
    <t>בירה לבנה בודד בקבוק 330 מ"ל</t>
  </si>
  <si>
    <t>TripAdvisor_Beer Advisor_5410228267508</t>
  </si>
  <si>
    <t>****TripAdvisor_5410228267508</t>
  </si>
  <si>
    <t>Budweiser_Can of beer Advisor</t>
  </si>
  <si>
    <t>בירה באדוויזר פחית</t>
  </si>
  <si>
    <t>Can of beer Advisor</t>
  </si>
  <si>
    <t>Heineken_5014379009972</t>
  </si>
  <si>
    <t>בירה לבנה בודד פחית 500 מ"ל</t>
  </si>
  <si>
    <t>TripAdvisor_Can of beer Advisor_5014379009972</t>
  </si>
  <si>
    <t>****TripAdvisor_5014379009972</t>
  </si>
  <si>
    <t>Heineken</t>
  </si>
  <si>
    <t>Butter_Tnuva butter 100g</t>
  </si>
  <si>
    <t>Butter</t>
  </si>
  <si>
    <t>תנובה חמאה 100 גרם</t>
  </si>
  <si>
    <t>Tnuva butter 100g</t>
  </si>
  <si>
    <t>Butter_72963104</t>
  </si>
  <si>
    <t>חמאה</t>
  </si>
  <si>
    <t>חמאה מפוקחת</t>
  </si>
  <si>
    <t>yield_Tnuva butter 100g_72963104</t>
  </si>
  <si>
    <t>****yield_72963104</t>
  </si>
  <si>
    <t>Carlsberg_Carlsberg 0.0 single bottle</t>
  </si>
  <si>
    <t>קרלסברג</t>
  </si>
  <si>
    <t>Carlsberg</t>
  </si>
  <si>
    <t>קרלסברג 0.0 בקבוק בודד</t>
  </si>
  <si>
    <t>Carlsberg 0.0 single bottle</t>
  </si>
  <si>
    <t>carlsberg_7290110110352</t>
  </si>
  <si>
    <t>בירה לבנה באריזה</t>
  </si>
  <si>
    <t>בירה לבנה מארז בקבוק 330 מ"ל</t>
  </si>
  <si>
    <t>Carlsberg_Carlsberg 0.0 single bottle_7290110110352</t>
  </si>
  <si>
    <t>****Carlsberg_7290110110352</t>
  </si>
  <si>
    <t>carlsberg</t>
  </si>
  <si>
    <t>Carlsberg_Carlsberg beer bottle, 330 ml</t>
  </si>
  <si>
    <t>בירה קרלסברג בקבוק, 330 מ"ל</t>
  </si>
  <si>
    <t>Carlsberg beer bottle, 330 ml</t>
  </si>
  <si>
    <t>carlsberg_8909761</t>
  </si>
  <si>
    <t>Carlsberg_Carlsberg beer bottle, 330 ml_7290008909761</t>
  </si>
  <si>
    <t>****Carlsberg_7290008909761</t>
  </si>
  <si>
    <t>Drinks</t>
  </si>
  <si>
    <t>Carlsberg_Carlsberg beer in the can 500 ml</t>
  </si>
  <si>
    <t>בירה קרלסברג בפחית 500 מ"ל</t>
  </si>
  <si>
    <t>Carlsberg beer in the can 500 ml</t>
  </si>
  <si>
    <t>carlsberg_1594568</t>
  </si>
  <si>
    <t>Carlsberg_Carlsberg beer in the can 500 ml_7290001594568</t>
  </si>
  <si>
    <t>****Carlsberg_7290001594568</t>
  </si>
  <si>
    <t>Carlsberg_Carlsberg single LUMA Beck 330</t>
  </si>
  <si>
    <t>קרלסברג LUMA בק 330 בודד</t>
  </si>
  <si>
    <t>Carlsberg single LUMA Beck 330</t>
  </si>
  <si>
    <t>carlsberg_7290110113421</t>
  </si>
  <si>
    <t>Carlsberg_Carlsberg single LUMA Beck 330_7290110113421</t>
  </si>
  <si>
    <t>****Carlsberg_7290110113421</t>
  </si>
  <si>
    <t>Carmit_Carmit marshmallows 100g when LP</t>
  </si>
  <si>
    <t>כרמית</t>
  </si>
  <si>
    <t>Carmit</t>
  </si>
  <si>
    <t>מרשמלו כרמית 100 גרם כשל"פ</t>
  </si>
  <si>
    <t>Carmit marshmallows 100g when LP</t>
  </si>
  <si>
    <t>Marshmello_2022152</t>
  </si>
  <si>
    <t>סוכריות מרשמלו</t>
  </si>
  <si>
    <t>מרשמלו</t>
  </si>
  <si>
    <t>Carmit_Carmit marshmallows 100g when LP_7290002022152</t>
  </si>
  <si>
    <t>****Carmit_7290002022152</t>
  </si>
  <si>
    <t>Sweets</t>
  </si>
  <si>
    <t>Cheetos_Tzitos crunchy cheese 80 grams</t>
  </si>
  <si>
    <t>ציטוס</t>
  </si>
  <si>
    <t>Cheetos</t>
  </si>
  <si>
    <t>ציטוס קראנצ גבינה 80 גרם</t>
  </si>
  <si>
    <t>Tzitos crunchy cheese 80 grams</t>
  </si>
  <si>
    <t>Cheetos_7290106720626</t>
  </si>
  <si>
    <t>חטיפים מלוחים לילדים</t>
  </si>
  <si>
    <t>Tzitos_Tzitos crunchy cheese 80 grams_7290106720626</t>
  </si>
  <si>
    <t>Cheetos_Tzitos crunchy peanuts 80g</t>
  </si>
  <si>
    <t>ציטוס קראנצ בוטנים 80 גרם</t>
  </si>
  <si>
    <t>Tzitos crunchy peanuts 80g</t>
  </si>
  <si>
    <t>Cheetos_7290106660649</t>
  </si>
  <si>
    <t>Tzitos_Tzitos crunchy peanuts 80g_7290106660649</t>
  </si>
  <si>
    <t>Cherry-Schoof_Beer - Cherry Schoof</t>
  </si>
  <si>
    <t>צ'רי שוף</t>
  </si>
  <si>
    <t>Cherry Schoof</t>
  </si>
  <si>
    <t>בירה - צ'רי שוף</t>
  </si>
  <si>
    <t>Beer - Cherry Schoof</t>
  </si>
  <si>
    <t>CherryChouffe_5410769800097</t>
  </si>
  <si>
    <t>Cherry-Schoof_Beer - Cherry Schoof_5410769800097</t>
  </si>
  <si>
    <t>****Cherry Schoof_5410769800097</t>
  </si>
  <si>
    <t>CherryChouffe</t>
  </si>
  <si>
    <t>Chocolate-Cow_Cow Bitter Chocolate, 100g</t>
  </si>
  <si>
    <t>שוקולד פרה</t>
  </si>
  <si>
    <t>Chocolate Cow</t>
  </si>
  <si>
    <t>Para-Splendid-Frey</t>
  </si>
  <si>
    <t>שוקולד פרה מריר, 100 גרם</t>
  </si>
  <si>
    <t>Cow Bitter Chocolate, 100g</t>
  </si>
  <si>
    <t>Para-Chocolate_170077</t>
  </si>
  <si>
    <t>טבלאות שוקולד חלב</t>
  </si>
  <si>
    <t>שוקולד חלב</t>
  </si>
  <si>
    <t>Chocolate-Cow_Cow Bitter Chocolate, 100g_7290000170077</t>
  </si>
  <si>
    <t>****Chocolate Cow_7290000170077</t>
  </si>
  <si>
    <t>Chocolate-Cow_Cow Chocolate Almond Cookies Mix 95 grams</t>
  </si>
  <si>
    <t>שוקולד פרה מיקס עוגיות ושקדים 95 גרם</t>
  </si>
  <si>
    <t>Cow Chocolate Almond Cookies Mix 95 grams</t>
  </si>
  <si>
    <t>Para-chocolate_7290112351197</t>
  </si>
  <si>
    <t>Chocolate-Cow_Cow Chocolate Almond Cookies Mix 95 grams_7290112351197</t>
  </si>
  <si>
    <t>****Chocolate Cow_7290112351197</t>
  </si>
  <si>
    <t>Para-chocolate</t>
  </si>
  <si>
    <t>Chocolate-Cow_Cow Chocolate Caramel Blondie and salt 100g</t>
  </si>
  <si>
    <t>שוקולד פרה בלונדי קרמל ומלח 100 גר</t>
  </si>
  <si>
    <t>Cow Chocolate Caramel Blondie and salt 100g</t>
  </si>
  <si>
    <t>Para-chocolate_7290107951623</t>
  </si>
  <si>
    <t>טבלאות שוקולד לבן</t>
  </si>
  <si>
    <t>שוקולד לבן</t>
  </si>
  <si>
    <t>Chocolate-Cow_Cow Chocolate Caramel Blondie and salt 100g_7290107951623</t>
  </si>
  <si>
    <t>****Chocolate Cow_7290107951623</t>
  </si>
  <si>
    <t>Chocolate-Cow_Cow Chocolate strawberry filling - 50g</t>
  </si>
  <si>
    <t>שוקולד פרה במילוי תות - 50 גרם</t>
  </si>
  <si>
    <t>Cow Chocolate strawberry filling - 50g</t>
  </si>
  <si>
    <t>Parra-Chocolate_8747431</t>
  </si>
  <si>
    <t>שוקולד חלב תוספות\ממולא</t>
  </si>
  <si>
    <t>Chocolate-Cow_Cow Chocolate strawberry filling - 50g_7290008747431</t>
  </si>
  <si>
    <t>****Chocolate Cow_7290008747431</t>
  </si>
  <si>
    <t>Chocolate-Cow_Cow Chocolate strawberry filling, 100 g</t>
  </si>
  <si>
    <t>שוקולד פרה במילוי תות, 100 גרם</t>
  </si>
  <si>
    <t>Cow Chocolate strawberry filling, 100 g</t>
  </si>
  <si>
    <t>Para-Chocolate_8747424</t>
  </si>
  <si>
    <t>Chocolate-Cow_Cow Chocolate strawberry filling, 100 g_7290008747424</t>
  </si>
  <si>
    <t>****Chocolate Cow_7290008747424</t>
  </si>
  <si>
    <t>Chocolate-Cow_Cow Chocolate Waffle Mix coconut 95g</t>
  </si>
  <si>
    <t>שוקולד פרה מיקס וופל וקוקוס 95 גרם</t>
  </si>
  <si>
    <t>Cow Chocolate Waffle Mix coconut 95g</t>
  </si>
  <si>
    <t>Para-chocolate_7290112351210</t>
  </si>
  <si>
    <t>Chocolate-Cow_Cow Chocolate Waffle Mix coconut 95g_7290112351210</t>
  </si>
  <si>
    <t>****Chocolate Cow_7290112351210</t>
  </si>
  <si>
    <t>Chocolate-Cow_Cow crunchy chocolate biscuit, 100 g</t>
  </si>
  <si>
    <t>פרה קראנצ שוקולד ביסקוויט, 100 גרם</t>
  </si>
  <si>
    <t>Cow crunchy chocolate biscuit, 100 g</t>
  </si>
  <si>
    <t>Chocolate-Crunch_5200908</t>
  </si>
  <si>
    <t>Chocolate-Cow_Cow crunchy chocolate biscuit, 100 g_7290005200908</t>
  </si>
  <si>
    <t>****Chocolate Cow_7290005200908</t>
  </si>
  <si>
    <t>Chocolate-Cow_Cow Milk Chocolate 100g</t>
  </si>
  <si>
    <t>שוקולד פרה חלב 100 גרם</t>
  </si>
  <si>
    <t>Cow Milk Chocolate 100g</t>
  </si>
  <si>
    <t>Para-Chocolate_170053</t>
  </si>
  <si>
    <t>Chocolate-Cow_Cow Milk Chocolate 100g_7290000170053</t>
  </si>
  <si>
    <t>****Chocolate Cow_7290000170053</t>
  </si>
  <si>
    <t>Chocolate-Cow_Cow milk chocolate pieces and nuts 100 g</t>
  </si>
  <si>
    <t>שוקולד פרה חלב שברי אגוזים 100 גר</t>
  </si>
  <si>
    <t>Cow milk chocolate pieces and nuts 100 g</t>
  </si>
  <si>
    <t>Para-chocolate_7290112351098</t>
  </si>
  <si>
    <t>Chocolate-Cow_Cow milk chocolate pieces and nuts 100 g_7290112351098</t>
  </si>
  <si>
    <t>****Chocolate Cow_7290112351098</t>
  </si>
  <si>
    <t>Chocolate-Cow_White chocolate cow Rabbinate</t>
  </si>
  <si>
    <t>שוקולד פרה לבן רבנות</t>
  </si>
  <si>
    <t>White chocolate cow Rabbinate</t>
  </si>
  <si>
    <t>Para-chocolate_7290112348548</t>
  </si>
  <si>
    <t>Chocolate-Cow_White chocolate cow Rabbinate_7290112348548</t>
  </si>
  <si>
    <t>****Chocolate Cow_7290112348548</t>
  </si>
  <si>
    <t>Chocolate-Cow_White Cow chocolate cookies, 100g</t>
  </si>
  <si>
    <t>שוקולד פרה לבן עם עוגיות, 100 גרם</t>
  </si>
  <si>
    <t>White Cow chocolate cookies, 100g</t>
  </si>
  <si>
    <t>Para-chocolate_8750400</t>
  </si>
  <si>
    <t>Chocolate-Cow_White Cow chocolate cookies, 100g_7290008750400</t>
  </si>
  <si>
    <t>****Chocolate Cow_7290008750400</t>
  </si>
  <si>
    <t>ChocoTnuvaBag_Yotvata chocolate bag 225 ml</t>
  </si>
  <si>
    <t>יטבתה</t>
  </si>
  <si>
    <t>ChocoTnuvaBag</t>
  </si>
  <si>
    <t>שוקו יטבתה בשקית 225 מ"ל</t>
  </si>
  <si>
    <t>Yotvata chocolate bag 225 ml</t>
  </si>
  <si>
    <t>ChocoTnuvaBag_42855</t>
  </si>
  <si>
    <t>משקאות חלב</t>
  </si>
  <si>
    <t>משקה חלב בשקיות</t>
  </si>
  <si>
    <t>Yotvata_Yotvata chocolate bag 225 ml_42855</t>
  </si>
  <si>
    <t>****Yotvata_42855</t>
  </si>
  <si>
    <t>ChocoTnuvaBottle_Chocolate yield 1 liter bottle</t>
  </si>
  <si>
    <t>ChocoTnuvaBottle</t>
  </si>
  <si>
    <t>שוקו תנובה בקבוק 1 ליטר</t>
  </si>
  <si>
    <t>Chocolate yield 1 liter bottle</t>
  </si>
  <si>
    <t>ChocoTnuvaBottle_4131531</t>
  </si>
  <si>
    <t>משקאות חלב משפחתי</t>
  </si>
  <si>
    <t>yield_Chocolate yield 1 liter bottle_4131531</t>
  </si>
  <si>
    <t>****yield_4131531</t>
  </si>
  <si>
    <t>Cider-Galilee_Apple cider clear, 330 ml</t>
  </si>
  <si>
    <t>סיידר הגליל</t>
  </si>
  <si>
    <t>Cider Galilee</t>
  </si>
  <si>
    <t>סיידר תפוח צלול, 330 מ"ל</t>
  </si>
  <si>
    <t>Apple cider clear, 330 ml</t>
  </si>
  <si>
    <t>Cider_336282</t>
  </si>
  <si>
    <t>משקאות קלים</t>
  </si>
  <si>
    <t>משק"ל אישי</t>
  </si>
  <si>
    <t>Cider-Galilee_Apple cider clear, 330 ml_7290000336282</t>
  </si>
  <si>
    <t>****Cider Galilee_7290000336282</t>
  </si>
  <si>
    <t>Click_Click Biscuit</t>
  </si>
  <si>
    <t>קליק</t>
  </si>
  <si>
    <t>Click</t>
  </si>
  <si>
    <t>Click-NishnushimElite</t>
  </si>
  <si>
    <t>קליק ביסקוויט</t>
  </si>
  <si>
    <t>Click Biscuit</t>
  </si>
  <si>
    <t>Click_7290112494221</t>
  </si>
  <si>
    <t>נישנושים</t>
  </si>
  <si>
    <t>Click_Click Biscuit_7290112494221</t>
  </si>
  <si>
    <t>****Click_7290112494221</t>
  </si>
  <si>
    <t>Click_Click cornflakes</t>
  </si>
  <si>
    <t>קליק קורנפלקס</t>
  </si>
  <si>
    <t>Click cornflakes</t>
  </si>
  <si>
    <t>Click_7290112494313</t>
  </si>
  <si>
    <t>Click_Click cornflakes_7290112494313</t>
  </si>
  <si>
    <t>****Click_7290112494313</t>
  </si>
  <si>
    <t>Click_Click pillows</t>
  </si>
  <si>
    <t>קליק כריות</t>
  </si>
  <si>
    <t>Click pillows</t>
  </si>
  <si>
    <t>Click_7290112494276</t>
  </si>
  <si>
    <t>Click_Click pillows_7290112494276</t>
  </si>
  <si>
    <t>****Click_7290112494276</t>
  </si>
  <si>
    <t>Click_Click pills</t>
  </si>
  <si>
    <t>קליק כדורים</t>
  </si>
  <si>
    <t>Click pills</t>
  </si>
  <si>
    <t>Click_7290112494238</t>
  </si>
  <si>
    <t>Click_Click pills_7290112494238</t>
  </si>
  <si>
    <t>****Click_7290112494238</t>
  </si>
  <si>
    <t>Click_Click Snack Nougat</t>
  </si>
  <si>
    <t>חטיף קליק נוגט</t>
  </si>
  <si>
    <t>Click Snack Nougat</t>
  </si>
  <si>
    <t>Click-bar_72909799</t>
  </si>
  <si>
    <t>Click_Click Snack Nougat_72909799</t>
  </si>
  <si>
    <t>****Click_72909799</t>
  </si>
  <si>
    <t>Click-bar</t>
  </si>
  <si>
    <t>Click_Click the white heat</t>
  </si>
  <si>
    <t>קליק חום לבן</t>
  </si>
  <si>
    <t>Click the white heat</t>
  </si>
  <si>
    <t>Click_7290112494283</t>
  </si>
  <si>
    <t>Click_Click the white heat_7290112494283</t>
  </si>
  <si>
    <t>****Click_7290112494283</t>
  </si>
  <si>
    <t>Click_Do not click out of milk cream filled snack</t>
  </si>
  <si>
    <t>קליק אין אאוט חטיף במילוי קרם חלב</t>
  </si>
  <si>
    <t>Do not click out of milk cream filled snack</t>
  </si>
  <si>
    <t>Click-bar_161648</t>
  </si>
  <si>
    <t>Click_Do not click out of milk cream filled snack_7290000161648</t>
  </si>
  <si>
    <t>****Click_7290000161648</t>
  </si>
  <si>
    <t>Click_Milk cream chocolate bar</t>
  </si>
  <si>
    <t>חטיף שוקולד קרם חלב</t>
  </si>
  <si>
    <t>Milk cream chocolate bar</t>
  </si>
  <si>
    <t>Click_7290107649117</t>
  </si>
  <si>
    <t>Click_Milk cream chocolate bar_7290107649117</t>
  </si>
  <si>
    <t>****Click_7290107649117</t>
  </si>
  <si>
    <t>Click_No snack click nougat filling out</t>
  </si>
  <si>
    <t>חטיף קליק אין אאוט במילוי נוגט</t>
  </si>
  <si>
    <t>No snack click nougat filling out</t>
  </si>
  <si>
    <t>Click-bar_161631</t>
  </si>
  <si>
    <t>Click_No snack click nougat filling out_7290000161631</t>
  </si>
  <si>
    <t>****Click_7290000161631</t>
  </si>
  <si>
    <t>Click_Snack milk chocolate milk cream</t>
  </si>
  <si>
    <t>חטיף קרם חלב שוקולד חלב</t>
  </si>
  <si>
    <t>Snack milk chocolate milk cream</t>
  </si>
  <si>
    <t>Click-bar_7290112497918</t>
  </si>
  <si>
    <t>Click_Snack milk chocolate milk cream_7290112497918</t>
  </si>
  <si>
    <t>****Click_7290112497918</t>
  </si>
  <si>
    <t>Click_Snack milk cream and white chocolate</t>
  </si>
  <si>
    <t>חטיף קרם חלב שוקולד לבן</t>
  </si>
  <si>
    <t>Snack milk cream and white chocolate</t>
  </si>
  <si>
    <t>Click-bar_7290112497901</t>
  </si>
  <si>
    <t>Click_Snack milk cream and white chocolate_7290112497901</t>
  </si>
  <si>
    <t>****Click_7290112497901</t>
  </si>
  <si>
    <t>Coca-Cola_Coca-Cola 1 liter</t>
  </si>
  <si>
    <t>קוקה-קולה</t>
  </si>
  <si>
    <t>Coca-Cola</t>
  </si>
  <si>
    <t>קוקה-קולה 1 ליטר</t>
  </si>
  <si>
    <t>Coca-Cola 1 liter</t>
  </si>
  <si>
    <t>Coca-Cola_7290013585394</t>
  </si>
  <si>
    <t>משקה קולה רגיל</t>
  </si>
  <si>
    <t>משקה קולה רגיל משפחתי 1ל ומעלה</t>
  </si>
  <si>
    <t>Coca-Cola_Coca-Cola 1 liter_7290013585394</t>
  </si>
  <si>
    <t>****Coca-Cola_7290013585394</t>
  </si>
  <si>
    <t>Coca-Cola_Coca-Cola 350 ml Class</t>
  </si>
  <si>
    <t>קוקה קולה קלאס 350 מ"ל</t>
  </si>
  <si>
    <t>Coca-Cola 350 ml Class</t>
  </si>
  <si>
    <t>Coca-Cola_1594025</t>
  </si>
  <si>
    <t>משקה קולה רגיל אישי</t>
  </si>
  <si>
    <t>Coca-Cola_Coca-Cola 350 ml Class_7290001594025</t>
  </si>
  <si>
    <t>****Coca-Cola_7290001594025</t>
  </si>
  <si>
    <t>Coca-Cola_Coca-Cola bottle 1.5 liter</t>
  </si>
  <si>
    <t>קוקה קולה בקבוק 1.5 ליטר</t>
  </si>
  <si>
    <t>Coca-Cola bottle 1.5 liter</t>
  </si>
  <si>
    <t>Coca-Cola_284316</t>
  </si>
  <si>
    <t>משקה קולה דיאט</t>
  </si>
  <si>
    <t>משקה דיאט קולה משפחתי 1ל ומעלה</t>
  </si>
  <si>
    <t>Coca-Cola_Coca-Cola bottle 1.5 liter_7290000284316</t>
  </si>
  <si>
    <t>****Coca-Cola_7290000284316</t>
  </si>
  <si>
    <t>Coca-Cola_Coca-Cola can 330 ml</t>
  </si>
  <si>
    <t>קוקה- קולה פחית 330 מ"ל</t>
  </si>
  <si>
    <t>Coca-Cola can 330 ml</t>
  </si>
  <si>
    <t>Coca-Cola_7290011017866</t>
  </si>
  <si>
    <t>Coca-Cola_Coca-Cola can 330 ml_7290011017866</t>
  </si>
  <si>
    <t>****Coca-Cola_7290011017866</t>
  </si>
  <si>
    <t>Coca-Cola_Coca-Cola plastic 500 ml</t>
  </si>
  <si>
    <t>קוקה קולה בפלסטיק 500 מ"ל</t>
  </si>
  <si>
    <t>Coca-Cola plastic 500 ml</t>
  </si>
  <si>
    <t>Coca-Cola_1594155</t>
  </si>
  <si>
    <t>Coca-Cola_Coca-Cola plastic 500 ml_7290001594155</t>
  </si>
  <si>
    <t>****Coca-Cola_7290001594155</t>
  </si>
  <si>
    <t>Coca-Cola_Coca-Cola Zero 1L</t>
  </si>
  <si>
    <t>קוקה-קולה זירו 1 ליטר</t>
  </si>
  <si>
    <t>Coca-Cola Zero 1L</t>
  </si>
  <si>
    <t>Coca-Cola_7290013585387</t>
  </si>
  <si>
    <t>Coca-Cola_Coca-Cola Zero 1L_7290013585387</t>
  </si>
  <si>
    <t>****Coca-Cola_7290013585387</t>
  </si>
  <si>
    <t>Coca-Cola_Coca-Cola Zero can of 330 ml</t>
  </si>
  <si>
    <t>קוקה-קולה זירו פחית 330 מ"ל</t>
  </si>
  <si>
    <t>Coca-Cola Zero can of 330 ml</t>
  </si>
  <si>
    <t>Coca-Cola_7290011017873</t>
  </si>
  <si>
    <t>משקה דיאט קולה אישי</t>
  </si>
  <si>
    <t>Coca-Cola_Coca-Cola Zero can of 330 ml_7290011017873</t>
  </si>
  <si>
    <t>****Coca-Cola_7290011017873</t>
  </si>
  <si>
    <t>Coca-Cola_Coca-Cola Zero ZERO classic glass, 350 ml</t>
  </si>
  <si>
    <t>קוקה קולה זירו ZERO קלאסי זכוכית, 350 מ"ל</t>
  </si>
  <si>
    <t>Coca-Cola Zero ZERO classic glass, 350 ml</t>
  </si>
  <si>
    <t>Coca-Cola_8909884</t>
  </si>
  <si>
    <t>Coca-Cola_Coca-Cola Zero ZERO classic glass, 350 ml_7290008909884</t>
  </si>
  <si>
    <t>****Coca-Cola_7290008909884</t>
  </si>
  <si>
    <t>Coca-Cola_Coke ZERO 1.5 liters</t>
  </si>
  <si>
    <t>קוקה קולה ZERO 1.5 ליטר</t>
  </si>
  <si>
    <t>Coke ZERO 1.5 liters</t>
  </si>
  <si>
    <t>Coca-Cola_8909860</t>
  </si>
  <si>
    <t>Coca-Cola_Coke ZERO 1.5 liters_7290008909860</t>
  </si>
  <si>
    <t>****Coca-Cola_7290008909860</t>
  </si>
  <si>
    <t>Coca-Cola_Coke ZERO 500 ml</t>
  </si>
  <si>
    <t>קוקה קולה ZERO 500 מ"ל</t>
  </si>
  <si>
    <t>Coke ZERO 500 ml</t>
  </si>
  <si>
    <t>Coca-Cola_8909853</t>
  </si>
  <si>
    <t>Coca-Cola_Coke ZERO 500 ml_7290008909853</t>
  </si>
  <si>
    <t>****Coca-Cola_7290008909853</t>
  </si>
  <si>
    <t>Coca-Cola_Diet Coke - 500 ml</t>
  </si>
  <si>
    <t>קוקה קולה דיאט - 500 מ"ל</t>
  </si>
  <si>
    <t>Diet Coke - 500 ml</t>
  </si>
  <si>
    <t>Coca-Cola_1594186</t>
  </si>
  <si>
    <t>Coca-Cola_Diet Coke - 500 ml_7290001594186</t>
  </si>
  <si>
    <t>****Coca-Cola_7290001594186</t>
  </si>
  <si>
    <t>Coca-Cola_Diet Coke can</t>
  </si>
  <si>
    <t>דיאט קוקה-קולה פחית</t>
  </si>
  <si>
    <t>Diet Coke can</t>
  </si>
  <si>
    <t>Coca-Cola_7290011017880</t>
  </si>
  <si>
    <t>Coca-Cola_Diet Coke can_7290011017880</t>
  </si>
  <si>
    <t>****Coca-Cola_7290011017880</t>
  </si>
  <si>
    <t>Coca-Cola_Diet Coke, 1.5 liter</t>
  </si>
  <si>
    <t>דיאט קוקה קולה, 1.5 ליטר</t>
  </si>
  <si>
    <t>Diet Coke, 1.5 liter</t>
  </si>
  <si>
    <t>Coca-Cola_284361</t>
  </si>
  <si>
    <t>Coca-Cola_Diet Coke, 1.5 liter_7290000284361</t>
  </si>
  <si>
    <t>****Coca-Cola_7290000284361</t>
  </si>
  <si>
    <t>Coco_Coco Max 100% coconut water 350 ml</t>
  </si>
  <si>
    <t>קוקו</t>
  </si>
  <si>
    <t>Coco</t>
  </si>
  <si>
    <t>קוקו מקס 100% מי קוקוס 350 מ"ל</t>
  </si>
  <si>
    <t>Coco Max 100% coconut water 350 ml</t>
  </si>
  <si>
    <t>CocoMax_8850161160851</t>
  </si>
  <si>
    <t>משקה מי קוקוס</t>
  </si>
  <si>
    <t>Coco_Coco Max 100% coconut water 350 ml_8850161160851</t>
  </si>
  <si>
    <t>****Coco_8850161160851</t>
  </si>
  <si>
    <t>CocoMax</t>
  </si>
  <si>
    <t>Coco_Wai Coco coconut drink 270 ml</t>
  </si>
  <si>
    <t>קוקו וואי משקה קוקוס 270 מ"ל</t>
  </si>
  <si>
    <t>Wai Coco coconut drink 270 ml</t>
  </si>
  <si>
    <t>CocoWay_8850161167041</t>
  </si>
  <si>
    <t>Coco_Wai Coco coconut drink 270 ml_8850161167041</t>
  </si>
  <si>
    <t>****Coco_8850161167041</t>
  </si>
  <si>
    <t>CocoWay</t>
  </si>
  <si>
    <t>Coco_Wai Coco Coconut flavored drink 270 ml</t>
  </si>
  <si>
    <t>קוקו וואי משקה קוקוס בטעם שוקולד 270 מ"ל</t>
  </si>
  <si>
    <t>Wai Coco Coconut flavored drink 270 ml</t>
  </si>
  <si>
    <t>CocoWay_8850161167065</t>
  </si>
  <si>
    <t>Coco_Wai Coco Coconut flavored drink 270 ml_8850161167065</t>
  </si>
  <si>
    <t>****Coco_8850161167065</t>
  </si>
  <si>
    <t>CoffeeMilkTnuva_Plus coffee milk carton 3.5% 800 ml</t>
  </si>
  <si>
    <t>CoffeeMilkTnuva</t>
  </si>
  <si>
    <t>חלב פלוס לקפה 3.5% בקרטון 800 מ"ל</t>
  </si>
  <si>
    <t>Plus coffee milk carton 3.5% 800 ml</t>
  </si>
  <si>
    <t>CoffeeMilkTnuva_4132231</t>
  </si>
  <si>
    <t>חלב</t>
  </si>
  <si>
    <t>חלב מועשר</t>
  </si>
  <si>
    <t>yield_Plus coffee milk carton 3.5% 800 ml_4132231</t>
  </si>
  <si>
    <t>****yield_4132231</t>
  </si>
  <si>
    <t>Corona_Corona beer bottle, 355 ml</t>
  </si>
  <si>
    <t>קורונה</t>
  </si>
  <si>
    <t>Corona</t>
  </si>
  <si>
    <t>Corona-yellow-beers</t>
  </si>
  <si>
    <t>בירה קורונה בקבוק, 355 מ"ל</t>
  </si>
  <si>
    <t>Corona beer bottle, 355 ml</t>
  </si>
  <si>
    <t>Corona_2542506</t>
  </si>
  <si>
    <t>Corona_Corona beer bottle, 355 ml_7290002542506</t>
  </si>
  <si>
    <t>****Corona_7290002542506</t>
  </si>
  <si>
    <t>Corona_Corona beer can 355 ml</t>
  </si>
  <si>
    <t>פחית בירה קורונה 355 מ"ל</t>
  </si>
  <si>
    <t>Corona beer can 355 ml</t>
  </si>
  <si>
    <t>Corona_7501064196690</t>
  </si>
  <si>
    <t>בירה לבנה בודד פחית 330 מ"ל</t>
  </si>
  <si>
    <t>Corona_Corona beer can 355 ml_7501064196690</t>
  </si>
  <si>
    <t>****Corona_7501064196690</t>
  </si>
  <si>
    <t>Cottage-Strauss_Cottage 5% 250g</t>
  </si>
  <si>
    <t>קוטג' שטראוס</t>
  </si>
  <si>
    <t>Cottage Strauss</t>
  </si>
  <si>
    <t>קוטג' 5% 250 גרם</t>
  </si>
  <si>
    <t>Cottage 5% 250g</t>
  </si>
  <si>
    <t>CottageStrauss_7290011194246</t>
  </si>
  <si>
    <t>קוטג</t>
  </si>
  <si>
    <t>קוטג 5%</t>
  </si>
  <si>
    <t>cottage'_Cottage 5% 250g_7290011194246</t>
  </si>
  <si>
    <t>****cottage'_7290011194246</t>
  </si>
  <si>
    <t>CottageStrauss</t>
  </si>
  <si>
    <t>Cottage-Tnuva_Tnuva cottage Cup 250 grams of 5% and .mhdrin</t>
  </si>
  <si>
    <t>קוטג' תנובה</t>
  </si>
  <si>
    <t>Cottage Tnuva</t>
  </si>
  <si>
    <t>קוטג תנובה גביע 250 גרם %5 ו.מהדרין</t>
  </si>
  <si>
    <t>Tnuva cottage Cup 250 grams of 5% and .mhdrin</t>
  </si>
  <si>
    <t>CottageTnuva_4127329</t>
  </si>
  <si>
    <t>cottage'_Tnuva cottage Cup 250 grams of 5% and .mhdrin_4127329</t>
  </si>
  <si>
    <t>****cottage'_4127329</t>
  </si>
  <si>
    <t>CottageTnuva</t>
  </si>
  <si>
    <t>Cracker-Osem_Barn sesame cracker 250g</t>
  </si>
  <si>
    <t>קרקר</t>
  </si>
  <si>
    <t>Cracker Osem</t>
  </si>
  <si>
    <t>Osem-pastry</t>
  </si>
  <si>
    <t>קרקר שומשום אסם 250 גרם</t>
  </si>
  <si>
    <t>Barn sesame cracker 250g</t>
  </si>
  <si>
    <t>Crecker-Osem_74252</t>
  </si>
  <si>
    <t>תחליפי לחם</t>
  </si>
  <si>
    <t>Cracker_Barn sesame cracker 250g_7290000074252</t>
  </si>
  <si>
    <t>****Cracker_7290000074252</t>
  </si>
  <si>
    <t>Pastry</t>
  </si>
  <si>
    <t>Cracker-Osem_Cracker gold, 150 g</t>
  </si>
  <si>
    <t>קרקר זהב, 150 גרם</t>
  </si>
  <si>
    <t>Cracker gold, 150 g</t>
  </si>
  <si>
    <t>Crecker-Osem_74375</t>
  </si>
  <si>
    <t>Cracker_Cracker gold, 150 g_7290000074375</t>
  </si>
  <si>
    <t>****Cracker_7290000074375</t>
  </si>
  <si>
    <t>Cracker-Osem_Cream Cracker barn. 250 grams</t>
  </si>
  <si>
    <t>קרם קרקר אסם. 250 גרם</t>
  </si>
  <si>
    <t>Cream Cracker barn. 250 grams</t>
  </si>
  <si>
    <t>Crecker-Osem_74245</t>
  </si>
  <si>
    <t>Cracker_Cream Cracker barn. 250 grams_7290000074245</t>
  </si>
  <si>
    <t>****Cracker_7290000074245</t>
  </si>
  <si>
    <t>CreamTnuva_Original cream 15% fat 200 ml</t>
  </si>
  <si>
    <t>CreamTnuva</t>
  </si>
  <si>
    <t>שמנת אורגינל 15% שומן 200 מל</t>
  </si>
  <si>
    <t>Original cream 15% fat 200 ml</t>
  </si>
  <si>
    <t>CreamTnuva_4125455</t>
  </si>
  <si>
    <t>אשל לבן שמנת</t>
  </si>
  <si>
    <t>שמנת חמוצה\בטעמים</t>
  </si>
  <si>
    <t>yield_Original cream 15% fat 200 ml_4125455</t>
  </si>
  <si>
    <t>****yield_4125455</t>
  </si>
  <si>
    <t>CreamTnuva_White Eshel 4.5%</t>
  </si>
  <si>
    <t>תנובה אשל לבן 4.5% שומן</t>
  </si>
  <si>
    <t>White Eshel 4.5%</t>
  </si>
  <si>
    <t>CreamTnuva_4125400</t>
  </si>
  <si>
    <t>Dairy</t>
  </si>
  <si>
    <t>Crunch_Krantz"i oatmeal and honey isolated 42 g</t>
  </si>
  <si>
    <t>קראנצי</t>
  </si>
  <si>
    <t>Crunch</t>
  </si>
  <si>
    <t>קראנצ"י שיבולת שועל ודבש בודד 42 גרם</t>
  </si>
  <si>
    <t>Krantz"i oatmeal and honey isolated 42 g</t>
  </si>
  <si>
    <t>Nature-Valley_16000548497</t>
  </si>
  <si>
    <t>Crunch_Krantz"i oatmeal and honey isolated 42 g_16000548497</t>
  </si>
  <si>
    <t>****Crunch_16000548497</t>
  </si>
  <si>
    <t>Nature-Valley</t>
  </si>
  <si>
    <t>Crunch_Krantz"i single maple brown sugar 42 grams</t>
  </si>
  <si>
    <t>קראנצ"י מייפל סוכר חום בודד 42 גרם</t>
  </si>
  <si>
    <t>Krantz"i single maple brown sugar 42 grams</t>
  </si>
  <si>
    <t>Nature-Valley_16000548596</t>
  </si>
  <si>
    <t>Crunch_Krantz"i single maple brown sugar 42 grams_16000548596</t>
  </si>
  <si>
    <t>****Crunch_16000548596</t>
  </si>
  <si>
    <t>Crunch_Oat Crunch Dark Chocolate 42 g</t>
  </si>
  <si>
    <t>קראנצי שיבולת שועל שוקולד מריר 42 גרם</t>
  </si>
  <si>
    <t>Oat Crunch Dark Chocolate 42 g</t>
  </si>
  <si>
    <t>Nature-Valley_16000507777</t>
  </si>
  <si>
    <t>Crunch_Oat Crunch Dark Chocolate 42 g_16000507777</t>
  </si>
  <si>
    <t>****Crunch_16000507777</t>
  </si>
  <si>
    <t>Daniella_Daniela delicacy cheese and vanilla 150 ml</t>
  </si>
  <si>
    <t>דניאלה</t>
  </si>
  <si>
    <t>Daniella</t>
  </si>
  <si>
    <t>מעדן דניאלה גבינה וניל 150 מ"ל</t>
  </si>
  <si>
    <t>Daniela delicacy cheese and vanilla 150 ml</t>
  </si>
  <si>
    <t>Daniella_5838002</t>
  </si>
  <si>
    <t>מעדנים</t>
  </si>
  <si>
    <t>מעדן גבינה מוקצף</t>
  </si>
  <si>
    <t>Daniella_Daniela delicacy cheese and vanilla 150 ml_5838002</t>
  </si>
  <si>
    <t>****Daniella_5838002</t>
  </si>
  <si>
    <t>Danone_20 g pro Danone Strawberry 200g</t>
  </si>
  <si>
    <t>דנונה</t>
  </si>
  <si>
    <t>Danone</t>
  </si>
  <si>
    <t>דנונה פרו 20גרם תות 200 גרם</t>
  </si>
  <si>
    <t>20 g pro Danone Strawberry 200g</t>
  </si>
  <si>
    <t>Pro_7290110566975</t>
  </si>
  <si>
    <t>יוגורט</t>
  </si>
  <si>
    <t>יוגורט בטעמים/תוספות</t>
  </si>
  <si>
    <t>Danone_20 g pro Danone Strawberry 200g_7290110566975</t>
  </si>
  <si>
    <t>****Danone_7290110566975</t>
  </si>
  <si>
    <t>Pro</t>
  </si>
  <si>
    <t>Danone_Danone Bar crackling</t>
  </si>
  <si>
    <t>דנונה בר פצפוצים</t>
  </si>
  <si>
    <t>Danone Bar crackling</t>
  </si>
  <si>
    <t>Danone_408354</t>
  </si>
  <si>
    <t>Danone_Danone Bar crackling_408354</t>
  </si>
  <si>
    <t>****Danone_408354</t>
  </si>
  <si>
    <t>Danone_Danone Bio White 3%</t>
  </si>
  <si>
    <t>דנונה ביו לבן 3%</t>
  </si>
  <si>
    <t>Danone Bio White 3%</t>
  </si>
  <si>
    <t>Bio_408316</t>
  </si>
  <si>
    <t>יוגורט לבן</t>
  </si>
  <si>
    <t>Danone_Danone Bio White 3%_408316</t>
  </si>
  <si>
    <t>****Danone_408316</t>
  </si>
  <si>
    <t>Bio</t>
  </si>
  <si>
    <t>Danone_Danone drinking strawberry banana 1.5%</t>
  </si>
  <si>
    <t>דנונה לשתייה תות בננה 1.5%</t>
  </si>
  <si>
    <t>Danone drinking strawberry banana 1.5%</t>
  </si>
  <si>
    <t>DanoneDrink_7290105965738</t>
  </si>
  <si>
    <t>משקה יוגורט בטעמים</t>
  </si>
  <si>
    <t>Danone_Danone drinking strawberry banana 1.5%_7290105965738</t>
  </si>
  <si>
    <t>****Danone_7290105965738</t>
  </si>
  <si>
    <t>DanoneDrink</t>
  </si>
  <si>
    <t>Danone_Danone Pecan Bar</t>
  </si>
  <si>
    <t>דנונה בר פקאן</t>
  </si>
  <si>
    <t>Danone Pecan Bar</t>
  </si>
  <si>
    <t>Danone_3321155</t>
  </si>
  <si>
    <t>Danone_Danone Pecan Bar_3321155</t>
  </si>
  <si>
    <t>****Danone_3321155</t>
  </si>
  <si>
    <t>Danone_Danone pro 20g vanilla 0% fat</t>
  </si>
  <si>
    <t>דנונה פרו 20 גר וניל 0% שומן</t>
  </si>
  <si>
    <t>Danone pro 20g vanilla 0% fat</t>
  </si>
  <si>
    <t>Pro_7290112330352</t>
  </si>
  <si>
    <t>יוגורט בטעמים דיאט</t>
  </si>
  <si>
    <t>Danone_Danone pro 20g vanilla 0% fat_7290112330352</t>
  </si>
  <si>
    <t>****Danone_7290112330352</t>
  </si>
  <si>
    <t>Danone_Danone yogurt drink flavored mango and peach</t>
  </si>
  <si>
    <t>דנונה משקה יוגורט בטעם מנגו ואפרסק</t>
  </si>
  <si>
    <t>Danone yogurt drink flavored mango and peach</t>
  </si>
  <si>
    <t>DanoneDrinkMango_7290112346698</t>
  </si>
  <si>
    <t>Danone_Danone yogurt drink flavored mango and peach_7290112346698</t>
  </si>
  <si>
    <t>****Danone_7290112346698</t>
  </si>
  <si>
    <t>DanoneDrinkMango</t>
  </si>
  <si>
    <t>Danone_Peru Danone yogurt 20 grams of protein and 200 grams</t>
  </si>
  <si>
    <t>דנונה פרו 20 גרם חלבון יוגורט 200 גרם</t>
  </si>
  <si>
    <t>Peru Danone yogurt 20 grams of protein and 200 grams</t>
  </si>
  <si>
    <t>Pro_7290110565527</t>
  </si>
  <si>
    <t>Danone_Peru Danone yogurt 20 grams of protein and 200 grams_7290110565527</t>
  </si>
  <si>
    <t>****Danone_7290110565527</t>
  </si>
  <si>
    <t>Danone_Peru Yotvata drink Vanilla 350 ml</t>
  </si>
  <si>
    <t>משקה יטבתה פרו וניל 350 מל</t>
  </si>
  <si>
    <t>Peru Yotvata drink Vanilla 350 ml</t>
  </si>
  <si>
    <t>ProDrink_7290110568276</t>
  </si>
  <si>
    <t>משקה חלב אישי קרטון/בקבוק</t>
  </si>
  <si>
    <t>Danone_Peru Yotvata drink Vanilla 350 ml_7290110568276</t>
  </si>
  <si>
    <t>****Danone_7290110568276</t>
  </si>
  <si>
    <t>ProDrink</t>
  </si>
  <si>
    <t>Danone_White Danone 1.7% 200 g</t>
  </si>
  <si>
    <t>דנונה לבן 1.7% 200 גרם</t>
  </si>
  <si>
    <t>White Danone 1.7% 200 g</t>
  </si>
  <si>
    <t>Bio_4584528</t>
  </si>
  <si>
    <t>Danone_White Danone 1.7% 200 g_4584528</t>
  </si>
  <si>
    <t>****Danone_4584528</t>
  </si>
  <si>
    <t>Doritos_Doritos grill 185 grams</t>
  </si>
  <si>
    <t>דוריטוס</t>
  </si>
  <si>
    <t>Doritos</t>
  </si>
  <si>
    <t>דוריטוס גריל 185 גרם</t>
  </si>
  <si>
    <t>Doritos grill 185 grams</t>
  </si>
  <si>
    <t>Doritos_7290106528567</t>
  </si>
  <si>
    <t>חטיף טורטיה</t>
  </si>
  <si>
    <t>Doritos_Doritos grill 185 grams_7290106528567</t>
  </si>
  <si>
    <t>Doritos_Doritos Grill 70 grams</t>
  </si>
  <si>
    <t>דוריטוס גריל 70 גרם</t>
  </si>
  <si>
    <t>Doritos Grill 70 grams</t>
  </si>
  <si>
    <t>Doritos_7290100850923</t>
  </si>
  <si>
    <t>Doritos_Doritos Grill 70 grams_7290100850923</t>
  </si>
  <si>
    <t>Doritos_Doritos spicy 70 g fire</t>
  </si>
  <si>
    <t>דוריטוס חריף אש 70 גרם</t>
  </si>
  <si>
    <t>Doritos spicy 70 g fire</t>
  </si>
  <si>
    <t>Doritos_7290010117864</t>
  </si>
  <si>
    <t>Doritos_Doritos spicy 70 g fire_7290010117864</t>
  </si>
  <si>
    <t>Doritos_Doritos spicy and sour 185 g</t>
  </si>
  <si>
    <t>דוריטוס חמוץ חריף 185 גרם</t>
  </si>
  <si>
    <t>Doritos spicy and sour 185 g</t>
  </si>
  <si>
    <t>Doritos_7290106667266</t>
  </si>
  <si>
    <t>Doritos_Doritos spicy and sour 185 g_7290106667266</t>
  </si>
  <si>
    <t>Doritos_Doritos spicy sour 70 g</t>
  </si>
  <si>
    <t>דוריטוס חמוץ חריף 70 גרם</t>
  </si>
  <si>
    <t>Doritos spicy sour 70 g</t>
  </si>
  <si>
    <t>Doritos_7290100850916</t>
  </si>
  <si>
    <t>Doritos_Doritos spicy sour 70 g_7290100850916</t>
  </si>
  <si>
    <t>Doritos_Naturally flavored Doritos 185 grams</t>
  </si>
  <si>
    <t>דוריטוס בטעם טבעי 185 גרם</t>
  </si>
  <si>
    <t>Naturally flavored Doritos 185 grams</t>
  </si>
  <si>
    <t>Doritos_7290106528628</t>
  </si>
  <si>
    <t>Doritos_Naturally flavored Doritos 185 grams_7290106528628</t>
  </si>
  <si>
    <t>Doritos_Naturally flavored Doritos 70 grams</t>
  </si>
  <si>
    <t>דוריטוס בטעם טבעי 70 גרם</t>
  </si>
  <si>
    <t>Naturally flavored Doritos 70 grams</t>
  </si>
  <si>
    <t>Doritos_7290100850930</t>
  </si>
  <si>
    <t>Doritos_Naturally flavored Doritos 70 grams_7290100850930</t>
  </si>
  <si>
    <t>Dubonim_Teddy bears 40g</t>
  </si>
  <si>
    <t>דובונים</t>
  </si>
  <si>
    <t>Dubonim</t>
  </si>
  <si>
    <t>דובונים 40 גר'</t>
  </si>
  <si>
    <t>Teddy bears 40g</t>
  </si>
  <si>
    <t>Dubonim_66264</t>
  </si>
  <si>
    <t>Teddy-Bears_Teddy bears 40g_7290000066264</t>
  </si>
  <si>
    <t>****Teddy Bears_7290000066264</t>
  </si>
  <si>
    <t>Dubonim_Teddy bears and rabbits 40g</t>
  </si>
  <si>
    <t>דובונים ארנבונים 40 גר'</t>
  </si>
  <si>
    <t>Teddy bears and rabbits 40g</t>
  </si>
  <si>
    <t>Arnavonim_6653857</t>
  </si>
  <si>
    <t>Teddy-Bears_Teddy bears and rabbits 40g_7290006653857</t>
  </si>
  <si>
    <t>****Teddy Bears_7290006653857</t>
  </si>
  <si>
    <t>Eden_Bavaria Eden 75g</t>
  </si>
  <si>
    <t>עדן</t>
  </si>
  <si>
    <t>Eden</t>
  </si>
  <si>
    <t>בוואריה עדן 75 גרם</t>
  </si>
  <si>
    <t>Bavaria Eden 75g</t>
  </si>
  <si>
    <t>Eden_5431128</t>
  </si>
  <si>
    <t>קינוחים</t>
  </si>
  <si>
    <t>Eden_Bavaria Eden 75g_5431128</t>
  </si>
  <si>
    <t>****Eden_5431128</t>
  </si>
  <si>
    <t>Eden_Melby Eden 150g</t>
  </si>
  <si>
    <t>מלבי עדן 150גרם</t>
  </si>
  <si>
    <t>Melby Eden 150g</t>
  </si>
  <si>
    <t>Eden_5431999</t>
  </si>
  <si>
    <t>Eden_Melby Eden 150g_5431999</t>
  </si>
  <si>
    <t>****Eden_5431999</t>
  </si>
  <si>
    <t>Egozi_Walnuts - snack nuts coated with milk chocolate</t>
  </si>
  <si>
    <t>אגוזי</t>
  </si>
  <si>
    <t>Egozi</t>
  </si>
  <si>
    <t>אגוזי - חטיף אגוזים מצופה שוקולד חלב</t>
  </si>
  <si>
    <t>Walnuts - snack nuts coated with milk chocolate</t>
  </si>
  <si>
    <t>Egozi_72917329</t>
  </si>
  <si>
    <t>nutty_Walnuts - snack nuts coated with milk chocolate_72917329</t>
  </si>
  <si>
    <t>****nutty_72917329</t>
  </si>
  <si>
    <t>Shokolit-Elite-500g_Chocolite Tinned Elite 500 g</t>
  </si>
  <si>
    <t>עלית</t>
  </si>
  <si>
    <t>Shokolit Elite 500g</t>
  </si>
  <si>
    <t>שוקולית בפחית עלית 500 גרם</t>
  </si>
  <si>
    <t>Chocolite Tinned Elite 500 g</t>
  </si>
  <si>
    <t>Shokolit_174723</t>
  </si>
  <si>
    <t>שוקו</t>
  </si>
  <si>
    <t>elite_Chocolite Tinned Elite 500 g_7290000174723</t>
  </si>
  <si>
    <t>****elite_7290000174723</t>
  </si>
  <si>
    <t>Ad-Khatsot_Dark until midnight 200.00 g</t>
  </si>
  <si>
    <t>עד חצות</t>
  </si>
  <si>
    <t>Ad Khatsot</t>
  </si>
  <si>
    <t>RevaLesheva-Pinukiot-AdKhatsot</t>
  </si>
  <si>
    <t>עד חצות מריר 200.00 גרם</t>
  </si>
  <si>
    <t>Dark until midnight 200.00 g</t>
  </si>
  <si>
    <t>Ad-khatsot_5199622</t>
  </si>
  <si>
    <t>elite_Dark until midnight 200.00 g_7290005199622</t>
  </si>
  <si>
    <t>****elite_7290005199622</t>
  </si>
  <si>
    <t>Ad-Khatsot_Milk chocolate biscuit 200.00 g</t>
  </si>
  <si>
    <t>ביסקויט בשוקולד חלב 200.00 גרם</t>
  </si>
  <si>
    <t>Milk chocolate biscuit 200.00 g</t>
  </si>
  <si>
    <t>Ad-khatsot_181103</t>
  </si>
  <si>
    <t>elite_Milk chocolate biscuit 200.00 g_7290000181103</t>
  </si>
  <si>
    <t>****elite_7290000181103</t>
  </si>
  <si>
    <t>Elite-Cakes_Brownies timeout</t>
  </si>
  <si>
    <t>עוגות עלית</t>
  </si>
  <si>
    <t>Elite Cakes</t>
  </si>
  <si>
    <t>Osem-Milka-Merba-EliteCakes</t>
  </si>
  <si>
    <t>בראוניז פסק זמן</t>
  </si>
  <si>
    <t>Brownies timeout</t>
  </si>
  <si>
    <t>Elite-cakes_7290107954457</t>
  </si>
  <si>
    <t>עוגות מדף ארוזות</t>
  </si>
  <si>
    <t>עוגות בראוניס</t>
  </si>
  <si>
    <t>Timeout_Brownies timeout_7290107954457</t>
  </si>
  <si>
    <t>****Timeout_7290107954457</t>
  </si>
  <si>
    <t>Elite-cakes</t>
  </si>
  <si>
    <t>Elite-Cakes_Crunch chocolate cake yeast</t>
  </si>
  <si>
    <t>עוגת קראנץ שמרים שוקולד</t>
  </si>
  <si>
    <t>Crunch chocolate cake yeast</t>
  </si>
  <si>
    <t>Elite-cakes_7290112345332</t>
  </si>
  <si>
    <t>עוגות שמרים</t>
  </si>
  <si>
    <t>elite_Crunch chocolate cake yeast_7290112345332</t>
  </si>
  <si>
    <t>****elite_7290112345332</t>
  </si>
  <si>
    <t>Elite-Cakes_Egozi cake</t>
  </si>
  <si>
    <t>עוגת אגוזי</t>
  </si>
  <si>
    <t>Egozi cake</t>
  </si>
  <si>
    <t>Elite-cakes_7290110564513</t>
  </si>
  <si>
    <t>Elite-Cakes_Rich Chocolate Brownies</t>
  </si>
  <si>
    <t>בראוניז שוקולד עשירה</t>
  </si>
  <si>
    <t>Rich Chocolate Brownies</t>
  </si>
  <si>
    <t>Elite-cakes_7290100853689</t>
  </si>
  <si>
    <t>elite_Rich Chocolate Brownies_7290100853689</t>
  </si>
  <si>
    <t>****elite_7290100853689</t>
  </si>
  <si>
    <t>Elite-coffee-Columbia-5g_10 Hail Columbia Capsules 5 g</t>
  </si>
  <si>
    <t>קפה עלית</t>
  </si>
  <si>
    <t>Elite coffee Columbia 5g</t>
  </si>
  <si>
    <t>קפסולות קולומביה 10 יחי 5גרם</t>
  </si>
  <si>
    <t>10 Hail Columbia Capsules 5 g</t>
  </si>
  <si>
    <t>Capsules-Caffe-Elite_7290110566623</t>
  </si>
  <si>
    <t>קפה אספרסו</t>
  </si>
  <si>
    <t>אספרסו קפסולות</t>
  </si>
  <si>
    <t>Elite-coffee_10 Hail Columbia Capsules 5 g_7290110566623</t>
  </si>
  <si>
    <t>****Elite coffee_7290110566623</t>
  </si>
  <si>
    <t>Capsules-Caffe-Elite</t>
  </si>
  <si>
    <t>Elite-coffee-Brazil-5g_Brazil Espresso capsules 10 pcs * 5 g</t>
  </si>
  <si>
    <t>Elite coffee Brazil 5g</t>
  </si>
  <si>
    <t>קפסולות אספרסו ברזיל 10 יח *5 גרם</t>
  </si>
  <si>
    <t>Brazil Espresso capsules 10 pcs * 5 g</t>
  </si>
  <si>
    <t>Capsules-Caffe-Elite_7290106525399</t>
  </si>
  <si>
    <t>Elite-coffee_Brazil Espresso capsules 10 pcs * 5 g_7290106525399</t>
  </si>
  <si>
    <t>****Elite coffee_7290106525399</t>
  </si>
  <si>
    <t>Elite-coffee-Indonesia_Capsules Indonesia</t>
  </si>
  <si>
    <t>Elite coffee Indonesia</t>
  </si>
  <si>
    <t>קפסולות אינדונזיה</t>
  </si>
  <si>
    <t>Capsules Indonesia</t>
  </si>
  <si>
    <t>Capsules-Caffe-Elite_7290107956932</t>
  </si>
  <si>
    <t>Elite-coffee_Capsules Indonesia_7290107956932</t>
  </si>
  <si>
    <t>****Elite coffee_7290107956932</t>
  </si>
  <si>
    <t>Elite-coffee-Turkey-to-go_Case Turkey via</t>
  </si>
  <si>
    <t>Elite coffee Turkey to go</t>
  </si>
  <si>
    <t>מארז טורקי לדרך</t>
  </si>
  <si>
    <t>Case Turkey via</t>
  </si>
  <si>
    <t>Turki-Caffe_7290107953559</t>
  </si>
  <si>
    <t>Elite-coffee_Case Turkey via_7290107953559</t>
  </si>
  <si>
    <t>****Elite coffee_7290107953559</t>
  </si>
  <si>
    <t>Turki-Caffe</t>
  </si>
  <si>
    <t>Illy-capsules-classico_Classico ILLY espresso capsules 10 pcs 57 g</t>
  </si>
  <si>
    <t>Illy capsules classico</t>
  </si>
  <si>
    <t>קפסולות אספרסו קלאסיקו ILLY 10יח 57גרם</t>
  </si>
  <si>
    <t>Classico ILLY espresso capsules 10 pcs 57 g</t>
  </si>
  <si>
    <t>Capsules-caffe-illy_8003753158556</t>
  </si>
  <si>
    <t>Elite-coffee_Classico ILLY espresso capsules 10 pcs 57 g_8003753158556</t>
  </si>
  <si>
    <t>****Elite coffee_8003753158556</t>
  </si>
  <si>
    <t>Capsules-caffe-illy</t>
  </si>
  <si>
    <t>Elite-coffee-Names-100g_Elite instant coffee 100g</t>
  </si>
  <si>
    <t>Elite coffee Names 100g</t>
  </si>
  <si>
    <t>קפה נמס עלית 100 גרם</t>
  </si>
  <si>
    <t>Elite instant coffee 100g</t>
  </si>
  <si>
    <t>Elite-Caffe_7290112344427</t>
  </si>
  <si>
    <t>קפה נמס</t>
  </si>
  <si>
    <t>אבקת קפה נמס</t>
  </si>
  <si>
    <t>Elite-coffee_Elite instant coffee 100g_7290112344427</t>
  </si>
  <si>
    <t>****Elite coffee_7290112344427</t>
  </si>
  <si>
    <t>Elite-Caffe</t>
  </si>
  <si>
    <t>Elite-coffee-capsules-10_Espresso coffee capsules 10</t>
  </si>
  <si>
    <t>Elite coffee capsules 10</t>
  </si>
  <si>
    <t>קפסולות קפה אספרסו 10</t>
  </si>
  <si>
    <t>Espresso coffee capsules 10</t>
  </si>
  <si>
    <t>Capsules-Caffe-Elite_7290105360328</t>
  </si>
  <si>
    <t>Elite-coffee_Espresso coffee capsules 10_7290105360328</t>
  </si>
  <si>
    <t>****Elite coffee_7290105360328</t>
  </si>
  <si>
    <t>Elite-coffee-Names-200g_Instant coffee 200g</t>
  </si>
  <si>
    <t>Elite coffee Names 200g</t>
  </si>
  <si>
    <t>קפה נמס 200 גרם</t>
  </si>
  <si>
    <t>Instant coffee 200g</t>
  </si>
  <si>
    <t>Elite-Caffe_176420</t>
  </si>
  <si>
    <t>Elite-coffee_Instant coffee 200g_7290000176420</t>
  </si>
  <si>
    <t>****Elite coffee_7290000176420</t>
  </si>
  <si>
    <t>Elite-coffee-Turkey-100g_Turkish Coffee 100g cellophane</t>
  </si>
  <si>
    <t>Elite coffee Turkey 100g</t>
  </si>
  <si>
    <t>קפה טורקי בצלופן 100 גרם</t>
  </si>
  <si>
    <t>Turkish Coffee 100g cellophane</t>
  </si>
  <si>
    <t>Turki-Caffe_176062</t>
  </si>
  <si>
    <t>Elite-coffee_Turkish Coffee 100g cellophane_7290000176062</t>
  </si>
  <si>
    <t>****Elite coffee_7290000176062</t>
  </si>
  <si>
    <t>hot Beverage</t>
  </si>
  <si>
    <t>Elite-coffee-Turkey-200g_Turkish Coffee 200g cellophane</t>
  </si>
  <si>
    <t>Elite coffee Turkey 200g</t>
  </si>
  <si>
    <t>קפה טורקי בצלופן 200 גרם</t>
  </si>
  <si>
    <t>Turkish Coffee 200g cellophane</t>
  </si>
  <si>
    <t>Turki-Caffe_5201882</t>
  </si>
  <si>
    <t>Elite-coffee_Turkish Coffee 200g cellophane_7290005201882</t>
  </si>
  <si>
    <t>****Elite coffee_7290005201882</t>
  </si>
  <si>
    <t>Energy-bar_Energy cakes coated with milk chocolate 70 g</t>
  </si>
  <si>
    <t>פריכיות אנרג'י</t>
  </si>
  <si>
    <t>Prichiot Energy</t>
  </si>
  <si>
    <t>Energy-Fitness-Prichiot</t>
  </si>
  <si>
    <t>אנרג'י פריכיות מצופה שוקולד חלב 70גרם</t>
  </si>
  <si>
    <t>Energy cakes coated with milk chocolate 70 g</t>
  </si>
  <si>
    <t>Prichiot-Energy_7290106527386</t>
  </si>
  <si>
    <t>תחליפי לחם לנשנוש</t>
  </si>
  <si>
    <t>energetic_Energy cakes coated with milk chocolate 70 g_7290106527386</t>
  </si>
  <si>
    <t>****energetic_7290106527386</t>
  </si>
  <si>
    <t>Prichiot-Energy</t>
  </si>
  <si>
    <t>Energy-bar_Energy cereal bar with cream timeout</t>
  </si>
  <si>
    <t>אנרג'י</t>
  </si>
  <si>
    <t>Energy-bar</t>
  </si>
  <si>
    <t>אנרג'י חטיף דגנים עם קרם פסק זמן</t>
  </si>
  <si>
    <t>Energy cereal bar with cream timeout</t>
  </si>
  <si>
    <t>Energy-bar_7290107947497</t>
  </si>
  <si>
    <t>energetic_Energy cereal bar with cream timeout_7290107947497</t>
  </si>
  <si>
    <t>****energetic_7290107947497</t>
  </si>
  <si>
    <t>Energy-bar_Energy comprises milk chocolate coated cereal</t>
  </si>
  <si>
    <t>אנרגי</t>
  </si>
  <si>
    <t>אנרגי מאגדת דגנים מצופה שוקולד חלב</t>
  </si>
  <si>
    <t>Energy comprises milk chocolate coated cereal</t>
  </si>
  <si>
    <t>Energy-bar_7290107947503</t>
  </si>
  <si>
    <t>energetic_Energy comprises milk chocolate coated cereal_7290107947503</t>
  </si>
  <si>
    <t>****energetic_7290107947503</t>
  </si>
  <si>
    <t>Energy-bar_The bottom energy bars. milk</t>
  </si>
  <si>
    <t>חטיף אנרגי תחתית ש. חלב</t>
  </si>
  <si>
    <t>The bottom energy bars. milk</t>
  </si>
  <si>
    <t>Energy-bar_7290110565930</t>
  </si>
  <si>
    <t>energetic_The bottom energy bars. milk_7290110565930</t>
  </si>
  <si>
    <t>****energetic_7290110565930</t>
  </si>
  <si>
    <t>EnrichedCream_Yotvata enriched with sour cream 200 ml 15%</t>
  </si>
  <si>
    <t>EnrichedCream</t>
  </si>
  <si>
    <t>שמנת חמוצה יטבתה מועשרת 200 מל 15%</t>
  </si>
  <si>
    <t>Yotvata enriched with sour cream 200 ml 15%</t>
  </si>
  <si>
    <t>EnrichedCream_41858</t>
  </si>
  <si>
    <t>Yotvata_Yotvata enriched with sour cream 200 ml 15%_41858</t>
  </si>
  <si>
    <t>****Yotvata_41858</t>
  </si>
  <si>
    <t>Estrella_Estrella Damm Bottle</t>
  </si>
  <si>
    <t>אסטרייה</t>
  </si>
  <si>
    <t>Estrella</t>
  </si>
  <si>
    <t>אסטרייה דאם בקבוק</t>
  </si>
  <si>
    <t>Estrella Damm Bottle</t>
  </si>
  <si>
    <t>EstrellaDamm_8410793282934</t>
  </si>
  <si>
    <t>Estrella_Estrella Damm Bottle_8410793282934</t>
  </si>
  <si>
    <t>****Estrella_8410793282934</t>
  </si>
  <si>
    <t>EstrellaDamm</t>
  </si>
  <si>
    <t>Fanta_Fanta Exotic, 1.5 liter</t>
  </si>
  <si>
    <t>פאנטה</t>
  </si>
  <si>
    <t>Fanta</t>
  </si>
  <si>
    <t>Fanta-Mirinda-SevenUp</t>
  </si>
  <si>
    <t>פאנטה אקזוטיק, 1.5 ליטר</t>
  </si>
  <si>
    <t>Fanta Exotic, 1.5 liter</t>
  </si>
  <si>
    <t>Fanta_5605901</t>
  </si>
  <si>
    <t>משקאות מוגזים טעמי פירות</t>
  </si>
  <si>
    <t>תוסס משפחתי טעמי פירות 1ל ומעלה</t>
  </si>
  <si>
    <t>Panetta_Fanta Exotic, 1.5 liter_7290005605901</t>
  </si>
  <si>
    <t>****Panetta_7290005605901</t>
  </si>
  <si>
    <t>Fanta_Fanta Exotic, 500 ml</t>
  </si>
  <si>
    <t>פאנטה אקזוטיק, 500 מ"ל</t>
  </si>
  <si>
    <t>Fanta Exotic, 500 ml</t>
  </si>
  <si>
    <t>Fanta_5605895</t>
  </si>
  <si>
    <t>תוסס טעמי פירות אישי</t>
  </si>
  <si>
    <t>Panetta_Fanta Exotic, 500 ml_7290005605895</t>
  </si>
  <si>
    <t>****Panetta_7290005605895</t>
  </si>
  <si>
    <t>Fanta_Fanta Orange 500ml</t>
  </si>
  <si>
    <t>פנטה אורנג' 500 מ"ל</t>
  </si>
  <si>
    <t>Fanta Orange 500ml</t>
  </si>
  <si>
    <t>Fanta_1594179</t>
  </si>
  <si>
    <t>Panetta_Fanta Orange 500ml_7290001594179</t>
  </si>
  <si>
    <t>****Panetta_7290001594179</t>
  </si>
  <si>
    <t>Fanta_Fanta Orange can</t>
  </si>
  <si>
    <t>פאנטה אורנג' פחית</t>
  </si>
  <si>
    <t>Fanta Orange can</t>
  </si>
  <si>
    <t>Fanta_7290011018443</t>
  </si>
  <si>
    <t>Panetta_Fanta Orange can_7290011018443</t>
  </si>
  <si>
    <t>****Panetta_7290011018443</t>
  </si>
  <si>
    <t>Fanta_Fanta Orange, 1.5 Liter</t>
  </si>
  <si>
    <t>פאנטה אורנג', 1.5 ליטר</t>
  </si>
  <si>
    <t>Fanta Orange, 1.5 Liter</t>
  </si>
  <si>
    <t>Fanta_3667109</t>
  </si>
  <si>
    <t>Panetta_Fanta Orange, 1.5 Liter_7290003667109</t>
  </si>
  <si>
    <t>****Panetta_7290003667109</t>
  </si>
  <si>
    <t>Ferrarelle_Ferrarelle 330 ml</t>
  </si>
  <si>
    <t>פררלה</t>
  </si>
  <si>
    <t>Ferrarelle</t>
  </si>
  <si>
    <t>Ferrarelle 330 ml</t>
  </si>
  <si>
    <t>Ferrarelle_8006290803514</t>
  </si>
  <si>
    <t>מים מוגזים</t>
  </si>
  <si>
    <t>מים מוגזים אישי</t>
  </si>
  <si>
    <t>Ferrarelle_Ferrarelle 330 ml_8006290803514</t>
  </si>
  <si>
    <t>****Ferrarelle_8006290803514</t>
  </si>
  <si>
    <t>Fitness_Fitness pepper salt snack Moltigriin 24 * 25 C.</t>
  </si>
  <si>
    <t>פיטנס</t>
  </si>
  <si>
    <t>Fitness</t>
  </si>
  <si>
    <t>פיטנס חטיף מולטיגריין מלח פלפל 24*25ג</t>
  </si>
  <si>
    <t>Fitness pepper salt snack Moltigriin 24 * 25 C.</t>
  </si>
  <si>
    <t>Fitness_7290112965660</t>
  </si>
  <si>
    <t>חטיפים אחרים</t>
  </si>
  <si>
    <t>Fitness_Fitness pepper salt snack Moltigriin 24 * 25 C._7290112965660</t>
  </si>
  <si>
    <t>Fitness_Fitness refined chili snack Moltigriin 24 * 25 C.</t>
  </si>
  <si>
    <t>פיטנס חטיף מולטיגריין צ'ילי מעודן 24*25ג</t>
  </si>
  <si>
    <t>Fitness refined chili snack Moltigriin 24 * 25 C.</t>
  </si>
  <si>
    <t>Fitness_7290112965707</t>
  </si>
  <si>
    <t>Fitness_Fitness refined chili snack Moltigriin 24 * 25 C._7290112965707</t>
  </si>
  <si>
    <t>Fitness_Fitness snack Moltigriin A.tibol 24 * 25 C.</t>
  </si>
  <si>
    <t>פיטנס חטיף מולטיגריין ע.תיבול 24*25ג</t>
  </si>
  <si>
    <t>Fitness snack Moltigriin A.tibol 24 * 25 C.</t>
  </si>
  <si>
    <t>Fitness_7290112965684</t>
  </si>
  <si>
    <t>Fitness_Fitness snack Moltigriin A.tibol 24 * 25 C._7290112965684</t>
  </si>
  <si>
    <t>Flifz_Flifz coated peanut butter pretzels 140 C.</t>
  </si>
  <si>
    <t>פליפז</t>
  </si>
  <si>
    <t>Flifz</t>
  </si>
  <si>
    <t>פליפז בייגלה מצופה חמאת בוטנים 140 ג</t>
  </si>
  <si>
    <t>Flifz coated peanut butter pretzels 140 C.</t>
  </si>
  <si>
    <t>Flipz_7290018440193</t>
  </si>
  <si>
    <t>בייגלה</t>
  </si>
  <si>
    <t>בייגלה חטיפים 81-230גר</t>
  </si>
  <si>
    <t>Flifz_Flifz coated peanut butter pretzels 140 C._7290018440193</t>
  </si>
  <si>
    <t>Flipz</t>
  </si>
  <si>
    <t>Flifz_Flifz milk chocolate covered pretzels 140 C.</t>
  </si>
  <si>
    <t>פליפז בייגלה מצופה שוקולד חלב 140 ג</t>
  </si>
  <si>
    <t>Flifz milk chocolate covered pretzels 140 C.</t>
  </si>
  <si>
    <t>Flipz_7290017513775</t>
  </si>
  <si>
    <t>Flifz_Flifz milk chocolate covered pretzels 140 C._7290017513775</t>
  </si>
  <si>
    <t>Flifz_Flifz white fudge coated pretzels 140 C.</t>
  </si>
  <si>
    <t>פליפז בייגלה מצופה פאדג לבן 140 ג</t>
  </si>
  <si>
    <t>Flifz white fudge coated pretzels 140 C.</t>
  </si>
  <si>
    <t>Flipz_7290018440209</t>
  </si>
  <si>
    <t>Flifz_Flifz white fudge coated pretzels 140 C._7290018440209</t>
  </si>
  <si>
    <t>FRESH_Candy Raspberry flavored sugar-free lemon</t>
  </si>
  <si>
    <t>פרש</t>
  </si>
  <si>
    <t>FRESH</t>
  </si>
  <si>
    <t>סוכריות ללא סוכר בטעם פטל לימון</t>
  </si>
  <si>
    <t>Candy Raspberry flavored sugar-free lemon</t>
  </si>
  <si>
    <t>Must-Fresh_7290112349354</t>
  </si>
  <si>
    <t>סוכריות מרעננות</t>
  </si>
  <si>
    <t>סוכריות מרעננות לל"ס</t>
  </si>
  <si>
    <t>FRESH_Candy Raspberry flavored sugar-free lemon_7290112349354</t>
  </si>
  <si>
    <t>****FRESH_7290112349354</t>
  </si>
  <si>
    <t>Must-Fresh</t>
  </si>
  <si>
    <t>FRESH_Candy strawberry-flavored sugar-free pomegranate</t>
  </si>
  <si>
    <t>סוכריות ללא סוכר בטעם תות רימון</t>
  </si>
  <si>
    <t>Candy strawberry-flavored sugar-free pomegranate</t>
  </si>
  <si>
    <t>Must-Fresh_7290112349378</t>
  </si>
  <si>
    <t>FRESH_Candy strawberry-flavored sugar-free pomegranate_7290112349378</t>
  </si>
  <si>
    <t>****FRESH_7290112349378</t>
  </si>
  <si>
    <t>Fresh_Retired blue refresh pages</t>
  </si>
  <si>
    <t>Fresh</t>
  </si>
  <si>
    <t>Must-Gumi-Werthers</t>
  </si>
  <si>
    <t>פרש דפי ריענון כחול</t>
  </si>
  <si>
    <t>Retired blue refresh pages</t>
  </si>
  <si>
    <t>Fresh_6928542902795</t>
  </si>
  <si>
    <t>דפי ריענון</t>
  </si>
  <si>
    <t>horseman_Retired blue refresh pages_6928542902795</t>
  </si>
  <si>
    <t>****horseman_6928542902795</t>
  </si>
  <si>
    <t>Fresh_Retired strawberry red refreshment pages</t>
  </si>
  <si>
    <t>פרש דפי ריענון תות אדום</t>
  </si>
  <si>
    <t>Retired strawberry red refreshment pages</t>
  </si>
  <si>
    <t>Fresh_6928542902818</t>
  </si>
  <si>
    <t>horseman_Retired strawberry red refreshment pages_6928542902818</t>
  </si>
  <si>
    <t>****horseman_6928542902818</t>
  </si>
  <si>
    <t>Fresh_Spread green mint refreshment pages</t>
  </si>
  <si>
    <t>פרש דפי ריענון מנטה ירוק</t>
  </si>
  <si>
    <t>Spread green mint refreshment pages</t>
  </si>
  <si>
    <t>Fresh_6928542902801</t>
  </si>
  <si>
    <t>horseman_Spread green mint refreshment pages_6928542902801</t>
  </si>
  <si>
    <t>****horseman_6928542902801</t>
  </si>
  <si>
    <t>FRESH_Sugar free candy mint flavor</t>
  </si>
  <si>
    <t>סוכריות ללא סוכר בטעם מנטה</t>
  </si>
  <si>
    <t>Sugar free candy mint flavor</t>
  </si>
  <si>
    <t>Must-Fresh_7290112349347</t>
  </si>
  <si>
    <t>FRESH_Sugar free candy mint flavor_7290112349347</t>
  </si>
  <si>
    <t>****FRESH_7290112349347</t>
  </si>
  <si>
    <t>Frey_Fry chocolate with pieces of nuts 100g</t>
  </si>
  <si>
    <t>פריי</t>
  </si>
  <si>
    <t>Frey</t>
  </si>
  <si>
    <t>פריי שוקולד עם שברי אגוזים 100 גרם</t>
  </si>
  <si>
    <t>Fry chocolate with pieces of nuts 100g</t>
  </si>
  <si>
    <t>Chocolate-Frey_7616500646087</t>
  </si>
  <si>
    <t>Fry_Fry chocolate with pieces of nuts 100g_7616500646087</t>
  </si>
  <si>
    <t>****Fry_7616500646087</t>
  </si>
  <si>
    <t>Chocolate-Frey</t>
  </si>
  <si>
    <t>Frey_Fry dark chocolate 78% 100 g</t>
  </si>
  <si>
    <t>פריי שוקולד מריר 78% 100 גרם</t>
  </si>
  <si>
    <t>Fry dark chocolate 78% 100 g</t>
  </si>
  <si>
    <t>Chocolate-Frey_7616500553484</t>
  </si>
  <si>
    <t>טבלאות שוקולד מריר</t>
  </si>
  <si>
    <t>שוקולד מריר 70%+ פרימיום</t>
  </si>
  <si>
    <t>Fry_Fry dark chocolate 78% 100 g_7616500553484</t>
  </si>
  <si>
    <t>****Fry_7616500553484</t>
  </si>
  <si>
    <t>Frey_Fry nut milk chocolate 180 g</t>
  </si>
  <si>
    <t>פריי שוקולד חלב אגוז 180 גרם</t>
  </si>
  <si>
    <t>Fry nut milk chocolate 180 g</t>
  </si>
  <si>
    <t>Chocolate-Frey_7616500647251</t>
  </si>
  <si>
    <t>Fry_Fry nut milk chocolate 180 g_7616500647251</t>
  </si>
  <si>
    <t>****Fry_7616500647251</t>
  </si>
  <si>
    <t>Frey_Fry orange dark chocolate 100g</t>
  </si>
  <si>
    <t>פריי שוקולד מריר תפוז 100 גרם</t>
  </si>
  <si>
    <t>Fry orange dark chocolate 100g</t>
  </si>
  <si>
    <t>Chocolate-Frey_7616500553460</t>
  </si>
  <si>
    <t>שוקולד מריר תוספות\ממולא</t>
  </si>
  <si>
    <t>Fry_Fry orange dark chocolate 100g_7616500553460</t>
  </si>
  <si>
    <t>****Fry_7616500553460</t>
  </si>
  <si>
    <t>Fromaz_Roll goat cheese 200g Fromaz</t>
  </si>
  <si>
    <t>פרומעז</t>
  </si>
  <si>
    <t>Fromaz</t>
  </si>
  <si>
    <t>גבינה צאן פרומעז גלילית 200 גרם</t>
  </si>
  <si>
    <t>Roll goat cheese 200g Fromaz</t>
  </si>
  <si>
    <t>Collage_45917</t>
  </si>
  <si>
    <t>גבינות מיוחדות מדף</t>
  </si>
  <si>
    <t>גבינות מיוחדות מדף גליל עז</t>
  </si>
  <si>
    <t>Fromaz_Roll goat cheese 200g Fromaz_45917</t>
  </si>
  <si>
    <t>****Fromaz_45917</t>
  </si>
  <si>
    <t>Collage</t>
  </si>
  <si>
    <t>Fruit-Water_Details of Water melon 0.5 L.</t>
  </si>
  <si>
    <t>פרוט ווטר</t>
  </si>
  <si>
    <t>Fruit Water</t>
  </si>
  <si>
    <t>Fruit-Water</t>
  </si>
  <si>
    <t>פרוט ווטר אבטיח 0.5 ל'</t>
  </si>
  <si>
    <t>Details of Water melon 0.5 L.</t>
  </si>
  <si>
    <t>FruitWater_7290014791879</t>
  </si>
  <si>
    <t>Details-of-Water_Details of Water melon 0.5 L._7290014791879</t>
  </si>
  <si>
    <t>****Details of Water_7290014791879</t>
  </si>
  <si>
    <t>FruitWater</t>
  </si>
  <si>
    <t>Fruit-Water_Details of Water melon 1.5 L.</t>
  </si>
  <si>
    <t>פרוט ווטר אבטיח 1.5 ל'</t>
  </si>
  <si>
    <t>Details of Water melon 1.5 L.</t>
  </si>
  <si>
    <t>Fruitwater_7290014791817</t>
  </si>
  <si>
    <t>משק"ל משפחתי 1ל ומעלה</t>
  </si>
  <si>
    <t>Details-of-Water_Details of Water melon 1.5 L._7290014791817</t>
  </si>
  <si>
    <t>****Details of Water_7290014791817</t>
  </si>
  <si>
    <t>Fruitwater</t>
  </si>
  <si>
    <t>Fruit-Water_Details of Water Peach 1.5 L.</t>
  </si>
  <si>
    <t>פרוט ווטר אפרסק 1.5 ל'</t>
  </si>
  <si>
    <t>Details of Water Peach 1.5 L.</t>
  </si>
  <si>
    <t>Fruitwater_7290014791800</t>
  </si>
  <si>
    <t>Details-of-Water_Details of Water Peach 1.5 L._7290014791800</t>
  </si>
  <si>
    <t>****Details of Water_7290014791800</t>
  </si>
  <si>
    <t>Fruit-Water_Details of Water pineapple 0.5 L.</t>
  </si>
  <si>
    <t>פרוט ווטר אננס 0.5 ל'</t>
  </si>
  <si>
    <t>Details of Water pineapple 0.5 L.</t>
  </si>
  <si>
    <t>FruitWater_7290014791848</t>
  </si>
  <si>
    <t>Details-of-Water_Details of Water pineapple 0.5 L._7290014791848</t>
  </si>
  <si>
    <t>****Details of Water_7290014791848</t>
  </si>
  <si>
    <t>Fruit-Water_Details of Water pineapple 1.5 L.</t>
  </si>
  <si>
    <t>פרוט ווטר אננס 1.5 ל'</t>
  </si>
  <si>
    <t>Details of Water pineapple 1.5 L.</t>
  </si>
  <si>
    <t>Fruitwater_7290014791787</t>
  </si>
  <si>
    <t>Details-of-Water_Details of Water pineapple 1.5 L._7290014791787</t>
  </si>
  <si>
    <t>****Details of Water_7290014791787</t>
  </si>
  <si>
    <t>Fruit&amp;veg_Details &amp; Vogue Hotel Nana Banana 350 ml</t>
  </si>
  <si>
    <t>פרוט&amp;ווג'</t>
  </si>
  <si>
    <t>Fruit&amp;veg</t>
  </si>
  <si>
    <t>Fruit-Veg</t>
  </si>
  <si>
    <t>פרוט &amp; ווג' בננה מלון נענע 350 מ"ל</t>
  </si>
  <si>
    <t>Details &amp; Vogue Hotel Nana Banana 350 ml</t>
  </si>
  <si>
    <t>Fruit&amp;veg_7290017888033</t>
  </si>
  <si>
    <t>נקטר</t>
  </si>
  <si>
    <t>נקטר אישי</t>
  </si>
  <si>
    <t>Details-&amp;-Vogue_Details &amp; Vogue Hotel Nana Banana 350 ml_7290017888033</t>
  </si>
  <si>
    <t>****Details &amp; Vogue_7290017888033</t>
  </si>
  <si>
    <t>Fruit&amp;veg_Details &amp; Vogue Pineapple Banana turmeric 350 ml</t>
  </si>
  <si>
    <t>פרוט &amp; ווג' אננס בננה כורכום 350 מ"ל</t>
  </si>
  <si>
    <t>Details &amp; Vogue Pineapple Banana turmeric 350 ml</t>
  </si>
  <si>
    <t>Fruit&amp;veg_7290017888644</t>
  </si>
  <si>
    <t>Details-&amp;-Vogue_Details &amp; Vogue Pineapple Banana turmeric 350 ml_7290017888644</t>
  </si>
  <si>
    <t>****Details &amp; Vogue_7290017888644</t>
  </si>
  <si>
    <t>Fruit&amp;veg_Details &amp; Vogue pineapple carrot apple 350 ml</t>
  </si>
  <si>
    <t>פרוט &amp; ווג' אננס תפוח גזר 350 מ"ל</t>
  </si>
  <si>
    <t>Details &amp; Vogue pineapple carrot apple 350 ml</t>
  </si>
  <si>
    <t>Fruit&amp;veg_7290017888026</t>
  </si>
  <si>
    <t>Details-&amp;-Vogue_Details &amp; Vogue pineapple carrot apple 350 ml_7290017888026</t>
  </si>
  <si>
    <t>****Details &amp; Vogue_7290017888026</t>
  </si>
  <si>
    <t>Fruit&amp;veg_Details &amp; Vogue pomegranate apple beet Gingr 350</t>
  </si>
  <si>
    <t>פרוט &amp; ווג תפוח רימון סלק גינגר 350 מ</t>
  </si>
  <si>
    <t>Details &amp; Vogue pomegranate apple beet Gingr 350</t>
  </si>
  <si>
    <t>Fruit&amp;veg_7290017888019</t>
  </si>
  <si>
    <t>Details-&amp;-Vogue_Details &amp; Vogue pomegranate apple beet Gingr 350_7290017888019</t>
  </si>
  <si>
    <t>****Details &amp; Vogue_7290017888019</t>
  </si>
  <si>
    <t>Fuze-Tea_Fusion T grape flavored iced tea</t>
  </si>
  <si>
    <t>פיוז טי</t>
  </si>
  <si>
    <t>Fuze Tea</t>
  </si>
  <si>
    <t>Fuze-Tea</t>
  </si>
  <si>
    <t>פיוז טי תה קר בטעם ענבים</t>
  </si>
  <si>
    <t>Fusion T grape flavored iced tea</t>
  </si>
  <si>
    <t>FuzeTea_7290011018580</t>
  </si>
  <si>
    <t>Fuze-Tea_Fusion T grape flavored iced tea_7290011018580</t>
  </si>
  <si>
    <t>****Fuze Tea_7290011018580</t>
  </si>
  <si>
    <t>FuzeTea</t>
  </si>
  <si>
    <t>Fuze-Tea_Fusion T peach flavored iced tea</t>
  </si>
  <si>
    <t>פיוז טי תה קר בטעם אפרסק</t>
  </si>
  <si>
    <t>Fusion T peach flavored iced tea</t>
  </si>
  <si>
    <t>FuzeTea_7290011018184</t>
  </si>
  <si>
    <t>Fuze-Tea_Fusion T peach flavored iced tea_7290011018184</t>
  </si>
  <si>
    <t>****Fuze Tea_7290011018184</t>
  </si>
  <si>
    <t>FuzeTea_7290011018283</t>
  </si>
  <si>
    <t>Fuze-Tea_Fusion T peach flavored iced tea_7290011018283</t>
  </si>
  <si>
    <t>****Fuze Tea_7290011018283</t>
  </si>
  <si>
    <t>Fuze-Tea_Fusion T peach flavored iced tea diet</t>
  </si>
  <si>
    <t>פיוז טי תה קר בטעם אפרסק דיאט</t>
  </si>
  <si>
    <t>Fusion T peach flavored iced tea diet</t>
  </si>
  <si>
    <t>FuzeTea_7290011018306</t>
  </si>
  <si>
    <t>Fuze-Tea_Fusion T peach flavored iced tea diet_7290011018306</t>
  </si>
  <si>
    <t>****Fuze Tea_7290011018306</t>
  </si>
  <si>
    <t>Fuze-Tea_Fusion T-flavored iced tea mango pineapple</t>
  </si>
  <si>
    <t>פיוז טי תה קר בטעם מנגו אננס</t>
  </si>
  <si>
    <t>Fusion T-flavored iced tea mango pineapple</t>
  </si>
  <si>
    <t>FuzeTea_7290011018214</t>
  </si>
  <si>
    <t>Fuze-Tea_Fusion T-flavored iced tea mango pineapple_7290011018214</t>
  </si>
  <si>
    <t>****Fuze Tea_7290011018214</t>
  </si>
  <si>
    <t>FuzeTea_7290011018252</t>
  </si>
  <si>
    <t>Fuze-Tea_Fusion T-flavored iced tea mango pineapple_7290011018252</t>
  </si>
  <si>
    <t>****Fuze Tea_7290011018252</t>
  </si>
  <si>
    <t>Fuze-Tea_Fusion T, peach-flavored iced tea diet</t>
  </si>
  <si>
    <t>פיוז טי ,תה קר בטעם אפרסק דיאט</t>
  </si>
  <si>
    <t>Fusion T, peach-flavored iced tea diet</t>
  </si>
  <si>
    <t>FuzeTea_7290011018191</t>
  </si>
  <si>
    <t>Fuze-Tea_Fusion T, peach-flavored iced tea diet_7290011018191</t>
  </si>
  <si>
    <t>****Fuze Tea_7290011018191</t>
  </si>
  <si>
    <t>Fuze-Tea_Fuze Green tea Berries</t>
  </si>
  <si>
    <t>Fuze tea גרין פירות יער</t>
  </si>
  <si>
    <t>Fuze Green tea Berries</t>
  </si>
  <si>
    <t>FuzeTea_7290110112141</t>
  </si>
  <si>
    <t>Fuze-Tea_Fuze Green tea Berries_7290110112141</t>
  </si>
  <si>
    <t>****Fuze Tea_7290110112141</t>
  </si>
  <si>
    <t>Fuze-Tea_Fuze Green tea lemon mint 0.5 liters</t>
  </si>
  <si>
    <t>Fuze tea גרין לימון נענע 0.5 ליטר</t>
  </si>
  <si>
    <t>Fuze Green tea lemon mint 0.5 liters</t>
  </si>
  <si>
    <t>FuzeTea_7290110110765</t>
  </si>
  <si>
    <t>Fuze-Tea_Fuze Green tea lemon mint 0.5 liters_7290110110765</t>
  </si>
  <si>
    <t>****Fuze Tea_7290110110765</t>
  </si>
  <si>
    <t>Fuze-Tea_Fuze tea peach 19 calories</t>
  </si>
  <si>
    <t>Fuze tea אפרסק 19 קלוריות</t>
  </si>
  <si>
    <t>Fuze tea peach 19 calories</t>
  </si>
  <si>
    <t>FuzeTea_7290110113490</t>
  </si>
  <si>
    <t>Fuze-Tea_Fuze tea peach 19 calories_7290110113490</t>
  </si>
  <si>
    <t>****Fuze Tea_7290110113490</t>
  </si>
  <si>
    <t>FuzeTea_7290110113483</t>
  </si>
  <si>
    <t>Fuze-Tea_Fuze tea peach 19 calories_7290110113483</t>
  </si>
  <si>
    <t>****Fuze Tea_7290110113483</t>
  </si>
  <si>
    <t>Gatorade_Gtoriid red orange sports</t>
  </si>
  <si>
    <t>גטורייד</t>
  </si>
  <si>
    <t>Gatorade</t>
  </si>
  <si>
    <t>Jumex-isotonic-juices</t>
  </si>
  <si>
    <t>גטורייד ספורט תפוז אדום</t>
  </si>
  <si>
    <t>Gtoriid red orange sports</t>
  </si>
  <si>
    <t>Gatorade_8001160001892</t>
  </si>
  <si>
    <t>משקה ספורט</t>
  </si>
  <si>
    <t>Gtoriid_Gtoriid red orange sports_8001160001892</t>
  </si>
  <si>
    <t>****Gtoriid_8001160001892</t>
  </si>
  <si>
    <t>Gatorade_Gtoriid Sports Sound Blue, 500 ml</t>
  </si>
  <si>
    <t>גטורייד ספורט קול בלו, 500 מל</t>
  </si>
  <si>
    <t>Gtoriid Sports Sound Blue, 500 ml</t>
  </si>
  <si>
    <t>Gatorade_8001160001786</t>
  </si>
  <si>
    <t>Gtoriid_Gtoriid Sports Sound Blue, 500 ml_8001160001786</t>
  </si>
  <si>
    <t>****Gtoriid_8001160001786</t>
  </si>
  <si>
    <t>Gil_White Age yield 206 grams of 3%</t>
  </si>
  <si>
    <t>גיל</t>
  </si>
  <si>
    <t>Gil</t>
  </si>
  <si>
    <t>תנובה גיל לבן 3% 206 גרם</t>
  </si>
  <si>
    <t>White Age yield 206 grams of 3%</t>
  </si>
  <si>
    <t>Gil_4125417</t>
  </si>
  <si>
    <t>לבן רגיל/בטעמים</t>
  </si>
  <si>
    <t>age_White Age yield 206 grams of 3%_4125417</t>
  </si>
  <si>
    <t>****age_4125417</t>
  </si>
  <si>
    <t>Go-Drink_Go banana peach drink</t>
  </si>
  <si>
    <t>יופלה</t>
  </si>
  <si>
    <t>Go Drink</t>
  </si>
  <si>
    <t>משקה גו בננה אפרסק</t>
  </si>
  <si>
    <t>Go banana peach drink</t>
  </si>
  <si>
    <t>GoDrink_7290110323066</t>
  </si>
  <si>
    <t>Yoplait_Go banana peach drink_7290110323066</t>
  </si>
  <si>
    <t>****Yoplait_7290110323066</t>
  </si>
  <si>
    <t>GoDrink</t>
  </si>
  <si>
    <t>Go-Drink_Go strawberry, raspberry drink</t>
  </si>
  <si>
    <t>משקה גו תות פטל</t>
  </si>
  <si>
    <t>Go strawberry, raspberry drink</t>
  </si>
  <si>
    <t>GoDrink_7290110323073</t>
  </si>
  <si>
    <t>Yoplait_Go strawberry, raspberry drink_7290110323073</t>
  </si>
  <si>
    <t>****Yoplait_7290110323073</t>
  </si>
  <si>
    <t>Godiva_Godiva Dark Chocolate Bar 30 g</t>
  </si>
  <si>
    <t>גודייבה</t>
  </si>
  <si>
    <t>Godiva</t>
  </si>
  <si>
    <t>שוקולד בר גודייבה מריר 30 גרם</t>
  </si>
  <si>
    <t>Godiva Dark Chocolate Bar 30 g</t>
  </si>
  <si>
    <t>Godiva_8690504153764</t>
  </si>
  <si>
    <t>Godiva_Godiva Dark Chocolate Bar 30 g_8690504153764</t>
  </si>
  <si>
    <t>****Godiva_8690504153764</t>
  </si>
  <si>
    <t>Godiva_Godiva Milk Chocolate Bar 35 grams</t>
  </si>
  <si>
    <t>שוקולד בר גודייבה חלב 35 גרם</t>
  </si>
  <si>
    <t>Godiva Milk Chocolate Bar 35 grams</t>
  </si>
  <si>
    <t>Godiva_8690504033431</t>
  </si>
  <si>
    <t>Godiva_Godiva Milk Chocolate Bar 35 grams_8690504033431</t>
  </si>
  <si>
    <t>****Godiva_8690504033431</t>
  </si>
  <si>
    <t>Godiva_Godiva Milk Chocolate Bar Vanilla 35g</t>
  </si>
  <si>
    <t>שוקולד בר גודייבה חלב וניל 35 גרם</t>
  </si>
  <si>
    <t>Godiva Milk Chocolate Bar Vanilla 35g</t>
  </si>
  <si>
    <t>Godiva_8690504033448</t>
  </si>
  <si>
    <t>Godiva_Godiva Milk Chocolate Bar Vanilla 35g_8690504033448</t>
  </si>
  <si>
    <t>****Godiva_8690504033448</t>
  </si>
  <si>
    <t>Godiva_Godiva Milk Chocolate Nut Bar 30g</t>
  </si>
  <si>
    <t>שוקולד בר גודייבה חלב אגוזים 30 גרם</t>
  </si>
  <si>
    <t>Godiva Milk Chocolate Nut Bar 30g</t>
  </si>
  <si>
    <t>Godiva_8690504153856</t>
  </si>
  <si>
    <t>Godiva_Godiva Milk Chocolate Nut Bar 30g_8690504153856</t>
  </si>
  <si>
    <t>****Godiva_8690504153856</t>
  </si>
  <si>
    <t>GoDrink_GO iced coffee yield 340 ml</t>
  </si>
  <si>
    <t>תנובה GO אייס קפה 340 מל'</t>
  </si>
  <si>
    <t>GO iced coffee yield 340 ml</t>
  </si>
  <si>
    <t>GoDrink_7290110325893</t>
  </si>
  <si>
    <t>yield_GO iced coffee yield 340 ml_7290110325893</t>
  </si>
  <si>
    <t>****yield_7290110325893</t>
  </si>
  <si>
    <t>GoDrink_GO vanilla yield 27 grams of protein</t>
  </si>
  <si>
    <t>תנובה GO וניל 27 גרם חלבון</t>
  </si>
  <si>
    <t>GO vanilla yield 27 grams of protein</t>
  </si>
  <si>
    <t>GoDrink_7290110324773</t>
  </si>
  <si>
    <t>yield_GO vanilla yield 27 grams of protein_7290110324773</t>
  </si>
  <si>
    <t>****yield_7290110324773</t>
  </si>
  <si>
    <t>GoDrink250_GO drink Vanilla 250 ml</t>
  </si>
  <si>
    <t>GoDrink250</t>
  </si>
  <si>
    <t>משקה GO בטעם וניל 250 מ"ל</t>
  </si>
  <si>
    <t>GO drink Vanilla 250 ml</t>
  </si>
  <si>
    <t>GoDrink250_7290014763678</t>
  </si>
  <si>
    <t>Yotvata_GO drink Vanilla 250 ml_7290014763678</t>
  </si>
  <si>
    <t>****Yotvata_7290014763678</t>
  </si>
  <si>
    <t>GoDrink250_GO iced coffee yield 250 ml</t>
  </si>
  <si>
    <t>תנובה GO אייס קפה 250 מל'</t>
  </si>
  <si>
    <t>GO iced coffee yield 250 ml</t>
  </si>
  <si>
    <t>GoDrink250_7290110325886</t>
  </si>
  <si>
    <t>yield_GO iced coffee yield 250 ml_7290110325886</t>
  </si>
  <si>
    <t>****yield_7290110325886</t>
  </si>
  <si>
    <t>Goldstar_Goldstar beer bottle, 330 ml</t>
  </si>
  <si>
    <t>גולדסטאר</t>
  </si>
  <si>
    <t>Goldstar</t>
  </si>
  <si>
    <t>בירה גולדסטאר בקבוק, 330 מ"ל</t>
  </si>
  <si>
    <t>Goldstar beer bottle, 330 ml</t>
  </si>
  <si>
    <t>Goldstar_8464345</t>
  </si>
  <si>
    <t>Goldstar_Goldstar beer bottle, 330 ml_7290008464345</t>
  </si>
  <si>
    <t>****Goldstar_7290008464345</t>
  </si>
  <si>
    <t>Goldstar_Goldstar beer in the can, 500 ml</t>
  </si>
  <si>
    <t>בירה גולדסטאר בפחית, 500 מ"ל</t>
  </si>
  <si>
    <t>Goldstar beer in the can, 500 ml</t>
  </si>
  <si>
    <t>Goldstar_8464468</t>
  </si>
  <si>
    <t>Goldstar_Goldstar beer in the can, 500 ml_7290008464468</t>
  </si>
  <si>
    <t>****Goldstar_7290008464468</t>
  </si>
  <si>
    <t>Goldstar_Goldstar beer is not filtered Can, 500 ml</t>
  </si>
  <si>
    <t>בירה גולדסטאר לא מסונן בפחית, 500 מ"ל</t>
  </si>
  <si>
    <t>Goldstar beer is not filtered Can, 500 ml</t>
  </si>
  <si>
    <t>Goldstar_8464024</t>
  </si>
  <si>
    <t>Goldstar_Goldstar beer is not filtered Can, 500 ml_7290008464024</t>
  </si>
  <si>
    <t>****Goldstar_7290008464024</t>
  </si>
  <si>
    <t>Goldstar_Goldstar beer is not filtered, 330 ml</t>
  </si>
  <si>
    <t>בירה גולדסטאר לא מסונן, 330 מ"ל</t>
  </si>
  <si>
    <t>Goldstar beer is not filtered, 330 ml</t>
  </si>
  <si>
    <t>Goldstar_8464109</t>
  </si>
  <si>
    <t>Goldstar_Goldstar beer is not filtered, 330 ml_7290008464109</t>
  </si>
  <si>
    <t>****Goldstar_7290008464109</t>
  </si>
  <si>
    <t>Gush-Halav_Gush milk cheese sliced ​​200g</t>
  </si>
  <si>
    <t>גוש חלב</t>
  </si>
  <si>
    <t>Gush Halav</t>
  </si>
  <si>
    <t>גבינה קשה גוש חלב פרוס 200 גרם</t>
  </si>
  <si>
    <t>Gush milk cheese sliced ​​200g</t>
  </si>
  <si>
    <t>GushHalav_4122195</t>
  </si>
  <si>
    <t>גבינות צהובות מדף</t>
  </si>
  <si>
    <t>גבינות צהובות מדף רגיל</t>
  </si>
  <si>
    <t>Gosh-milk_Gush milk cheese sliced ​​200g_4122195</t>
  </si>
  <si>
    <t>****Gosh milk_4122195</t>
  </si>
  <si>
    <t>GushHalav</t>
  </si>
  <si>
    <t>Happy-Hippo_Happy Hippo Cocoa 21 g</t>
  </si>
  <si>
    <t>הפי היפו</t>
  </si>
  <si>
    <t>Happy Hippo</t>
  </si>
  <si>
    <t>הפי היפו קקאו 21 גרם</t>
  </si>
  <si>
    <t>Happy Hippo Cocoa 21 g</t>
  </si>
  <si>
    <t>Kinder-HappyHippo_80176732</t>
  </si>
  <si>
    <t>שוקולד עולם הילדים</t>
  </si>
  <si>
    <t>חטיפים מתוקים לילדים</t>
  </si>
  <si>
    <t>Happy-Hippo_Happy Hippo Cocoa 21 g_80176732</t>
  </si>
  <si>
    <t>****Happy Hippo_80176732</t>
  </si>
  <si>
    <t>Kinder-HappyHippo</t>
  </si>
  <si>
    <t>Hashef-Halavan_Chef White Cream 38% fat 250 ml</t>
  </si>
  <si>
    <t>השף הלבן</t>
  </si>
  <si>
    <t>Hashef Halavan</t>
  </si>
  <si>
    <t>השף הלבן שמנת להקצפה 38% שומן 250 מל</t>
  </si>
  <si>
    <t>Chef White Cream 38% fat 250 ml</t>
  </si>
  <si>
    <t>WhippingCream_43814</t>
  </si>
  <si>
    <t>מיכלי שמנת מתוקה</t>
  </si>
  <si>
    <t>שמנת מתוקה</t>
  </si>
  <si>
    <t>The-white-chef_Chef White Cream 38% fat 250 ml_43814</t>
  </si>
  <si>
    <t>****The white chef_43814</t>
  </si>
  <si>
    <t>WhippingCream</t>
  </si>
  <si>
    <t>Hativ_Almndos, 200 g</t>
  </si>
  <si>
    <t>הטיב</t>
  </si>
  <si>
    <t>Hativ</t>
  </si>
  <si>
    <t>אלמנדוס, 200 גרם</t>
  </si>
  <si>
    <t>Almndos, 200 g</t>
  </si>
  <si>
    <t>Hativ_4532161</t>
  </si>
  <si>
    <t>פיצוחים</t>
  </si>
  <si>
    <t>תערובת פיצוחים</t>
  </si>
  <si>
    <t>The-nature_Almndos, 200 g_7290004532161</t>
  </si>
  <si>
    <t>****The nature_7290004532161</t>
  </si>
  <si>
    <t>Nuts and seeds</t>
  </si>
  <si>
    <t>Hativ_Black core of the nature, 200g</t>
  </si>
  <si>
    <t>גרעין שחור הטיב, 200 גרם</t>
  </si>
  <si>
    <t>Black core of the nature, 200g</t>
  </si>
  <si>
    <t>Hativ_4532574</t>
  </si>
  <si>
    <t>גרעיני חמניה</t>
  </si>
  <si>
    <t>The-nature_Black core of the nature, 200g_7290004532574</t>
  </si>
  <si>
    <t>****The nature_7290004532574</t>
  </si>
  <si>
    <t>Hativ_Fried Peanut, 200g</t>
  </si>
  <si>
    <t>בוטן מטוגן, 200 גרם</t>
  </si>
  <si>
    <t>Fried Peanut, 200g</t>
  </si>
  <si>
    <t>Hativ_8166775</t>
  </si>
  <si>
    <t>בוטנים</t>
  </si>
  <si>
    <t>The-nature_Fried Peanut, 200g_7290008166775</t>
  </si>
  <si>
    <t>****The nature_7290008166775</t>
  </si>
  <si>
    <t>Hativ_Mixed Nuts and Cranberries Naturally the nature 150g</t>
  </si>
  <si>
    <t>מיקס אגוזים טבעי וחמוציות הטיב 150 גרם</t>
  </si>
  <si>
    <t>Mixed Nuts and Cranberries Naturally the nature 150g</t>
  </si>
  <si>
    <t>Hativ_7290014241589</t>
  </si>
  <si>
    <t>The-nature_Mixed Nuts and Cranberries Naturally the nature 150g_7290014241589</t>
  </si>
  <si>
    <t>Hativ_Mntzs snack spicy rice, 180 grams</t>
  </si>
  <si>
    <t>מנצס חטיף אורז פיקנטי, 180 גרם</t>
  </si>
  <si>
    <t>Mntzs snack spicy rice, 180 grams</t>
  </si>
  <si>
    <t>Hativ_4532369</t>
  </si>
  <si>
    <t>The-nature_Mntzs snack spicy rice, 180 grams_7290004532369</t>
  </si>
  <si>
    <t>****The nature_7290004532369</t>
  </si>
  <si>
    <t>Hativ_Pistachios, 200 g</t>
  </si>
  <si>
    <t>פיסטוק חלבי, 200 גרם</t>
  </si>
  <si>
    <t>Pistachios, 200 g</t>
  </si>
  <si>
    <t>Hativ_4532123</t>
  </si>
  <si>
    <t>פיסטוקים</t>
  </si>
  <si>
    <t>The-nature_Pistachios, 200 g_7290004532123</t>
  </si>
  <si>
    <t>****The nature_7290004532123</t>
  </si>
  <si>
    <t>Hativ_Premium nuts, 200g</t>
  </si>
  <si>
    <t>פיצוחים מובחר, 200 גרם</t>
  </si>
  <si>
    <t>Premium nuts, 200g</t>
  </si>
  <si>
    <t>Hativ_8166010</t>
  </si>
  <si>
    <t>The-nature_Premium nuts, 200g_7290008166010</t>
  </si>
  <si>
    <t>****The nature_7290008166010</t>
  </si>
  <si>
    <t>Hativ_Roasted cashews, 200 g</t>
  </si>
  <si>
    <t>קשיו קלוי, 200 גרם</t>
  </si>
  <si>
    <t>Roasted cashews, 200 g</t>
  </si>
  <si>
    <t>Hativ_4532086</t>
  </si>
  <si>
    <t>קשיו</t>
  </si>
  <si>
    <t>The-nature_Roasted cashews, 200 g_7290004532086</t>
  </si>
  <si>
    <t>****The nature_7290004532086</t>
  </si>
  <si>
    <t>Hativ_Roasted peanuts, 200 g</t>
  </si>
  <si>
    <t>בוטנים קלויים, 200 גרם</t>
  </si>
  <si>
    <t>Roasted peanuts, 200 g</t>
  </si>
  <si>
    <t>Hativ_4532581</t>
  </si>
  <si>
    <t>The-nature_Roasted peanuts, 200 g_7290004532581</t>
  </si>
  <si>
    <t>****The nature_7290004532581</t>
  </si>
  <si>
    <t>Hativ_The American Peanut, 200g</t>
  </si>
  <si>
    <t>בוטן אמריקאי, 200 גרם</t>
  </si>
  <si>
    <t>The American Peanut, 200g</t>
  </si>
  <si>
    <t>Hativ_4532130</t>
  </si>
  <si>
    <t>בוטנים אמריקאים</t>
  </si>
  <si>
    <t>The-nature_The American Peanut, 200g_7290004532130</t>
  </si>
  <si>
    <t>****The nature_7290004532130</t>
  </si>
  <si>
    <t>Hativ_Watermelon seeds, 200 g</t>
  </si>
  <si>
    <t>גרעין אבטיח, 200 גרם</t>
  </si>
  <si>
    <t>Watermelon seeds, 200 g</t>
  </si>
  <si>
    <t>Hativ_4532062</t>
  </si>
  <si>
    <t>גרעיני אבטיח</t>
  </si>
  <si>
    <t>The-nature_Watermelon seeds, 200 g_7290004532062</t>
  </si>
  <si>
    <t>****The nature_7290004532062</t>
  </si>
  <si>
    <t>Heineken_Heineken beer without alcohol in 330 ml bottle</t>
  </si>
  <si>
    <t>הייניקן</t>
  </si>
  <si>
    <t>בירה הייניקן ללא אלכוהול בקבוק 330 מ"ל</t>
  </si>
  <si>
    <t>Heineken beer without alcohol in 330 ml bottle</t>
  </si>
  <si>
    <t>Heineken_8712000050146</t>
  </si>
  <si>
    <t>בירה ללא אלכוהול</t>
  </si>
  <si>
    <t>בירה ללא אלכוהול בודד</t>
  </si>
  <si>
    <t>Heineken_Heineken beer without alcohol in 330 ml bottle_8712000050146</t>
  </si>
  <si>
    <t>****Heineken_8712000050146</t>
  </si>
  <si>
    <t>Heineken_Heineken beer, a bottle of 330 ml</t>
  </si>
  <si>
    <t>בירה היינקן, בקבוק 330 מ''ל</t>
  </si>
  <si>
    <t>Heineken beer, a bottle of 330 ml</t>
  </si>
  <si>
    <t>Heineken_7290010237685</t>
  </si>
  <si>
    <t>Heineken_Heineken beer, a bottle of 330 ml_7290010237685</t>
  </si>
  <si>
    <t>****Heineken_7290010237685</t>
  </si>
  <si>
    <t>Heineken_Heineken can of 500 ml</t>
  </si>
  <si>
    <t>היינקן פחית 500 מ"ל</t>
  </si>
  <si>
    <t>Heineken can of 500 ml</t>
  </si>
  <si>
    <t>Heineken_8464604</t>
  </si>
  <si>
    <t>Heineken_Heineken can of 500 ml_7290008464604</t>
  </si>
  <si>
    <t>****Heineken_7290008464604</t>
  </si>
  <si>
    <t>IceCoffeeYotvata_Cold coffee drink 230 ml refined style</t>
  </si>
  <si>
    <t>IceCoffeeYotvata</t>
  </si>
  <si>
    <t>משקה קפה קר בסגנון מעודן 230 מ"ל</t>
  </si>
  <si>
    <t>Cold coffee drink 230 ml refined style</t>
  </si>
  <si>
    <t>IceCoffeeYotvata_7290110563448</t>
  </si>
  <si>
    <t>Yotvata_Cold coffee drink 230 ml refined style_7290110563448</t>
  </si>
  <si>
    <t>****Yotvata_7290110563448</t>
  </si>
  <si>
    <t>IceCoffeeYotvata_Cold coffee drink in classic style, 230 ml</t>
  </si>
  <si>
    <t>משקה קפה קר בסגנון קלאסי, 230 מ"ל</t>
  </si>
  <si>
    <t>Cold coffee drink in classic style, 230 ml</t>
  </si>
  <si>
    <t>IceCoffeeYotvata_7290110563431</t>
  </si>
  <si>
    <t>Yotvata_Cold coffee drink in classic style, 230 ml_7290110563431</t>
  </si>
  <si>
    <t>****Yotvata_7290110563431</t>
  </si>
  <si>
    <t>IceCoffeeYotvata_Cold coffee drink strong coffee ice Yotvata</t>
  </si>
  <si>
    <t>משקה קפה קר יטבתה אייס קפה חזק</t>
  </si>
  <si>
    <t>Cold coffee drink strong coffee ice Yotvata</t>
  </si>
  <si>
    <t>IceCoffeeYotvata_7290110564742</t>
  </si>
  <si>
    <t>Yotvata_Cold coffee drink strong coffee ice Yotvata_7290110564742</t>
  </si>
  <si>
    <t>****Yotvata_7290110564742</t>
  </si>
  <si>
    <t>Illy-capsules-forte_Illy Espresso Forte Capsules 10 pcs 57 C.</t>
  </si>
  <si>
    <t>אילי</t>
  </si>
  <si>
    <t>Illy capsules forte</t>
  </si>
  <si>
    <t>אילי illy קפסולות אספרסו פורטה 10 יח 57ג</t>
  </si>
  <si>
    <t>Illy Espresso Forte Capsules 10 pcs 57 C.</t>
  </si>
  <si>
    <t>Capsules-caffe-illy_8003753158587</t>
  </si>
  <si>
    <t>Illy_Illy Illy Espresso Forte Capsules 10 pcs 57 C._8003753158587</t>
  </si>
  <si>
    <t>****Illy_8003753158587</t>
  </si>
  <si>
    <t>Island_Guava Island of the coast of the Sinai drink 1 liter</t>
  </si>
  <si>
    <t>איילנד</t>
  </si>
  <si>
    <t>Island</t>
  </si>
  <si>
    <t>איילנד גויאבה המשקה של חופי סיני 1 ליטר</t>
  </si>
  <si>
    <t>Guava Island of the coast of the Sinai drink 1 liter</t>
  </si>
  <si>
    <t>Island_839762000658</t>
  </si>
  <si>
    <t>נקטר משפחתי 1ל ומעלה</t>
  </si>
  <si>
    <t>Island_Guava Island of the coast of the Sinai drink 1 liter_839762000658</t>
  </si>
  <si>
    <t>****Island_839762000658</t>
  </si>
  <si>
    <t>Island_Island Guava 350 ml</t>
  </si>
  <si>
    <t>איילנד גויאבה 350 מ"ל</t>
  </si>
  <si>
    <t>Island Guava 350 ml</t>
  </si>
  <si>
    <t>Island_839762002386</t>
  </si>
  <si>
    <t>Island_Island Guava 350 ml_839762002386</t>
  </si>
  <si>
    <t>****Island_839762002386</t>
  </si>
  <si>
    <t>Island_Island Mango 1L</t>
  </si>
  <si>
    <t>איילנד מנגו 1 ליטר</t>
  </si>
  <si>
    <t>Island Mango 1L</t>
  </si>
  <si>
    <t>Island_839762000641</t>
  </si>
  <si>
    <t>Island_Island Mango 1L_839762000641</t>
  </si>
  <si>
    <t>****Island_839762000641</t>
  </si>
  <si>
    <t>Island_Island Mango 350 ml</t>
  </si>
  <si>
    <t>איילנד מנגו 350 מ"ל</t>
  </si>
  <si>
    <t>Island Mango 350 ml</t>
  </si>
  <si>
    <t>Island_839762002379</t>
  </si>
  <si>
    <t>Island_Island Mango 350 ml_839762002379</t>
  </si>
  <si>
    <t>****Island_839762002379</t>
  </si>
  <si>
    <t>Jacobs-kronung-47.5g_Coffee Giiikobs Corning 47.5 g</t>
  </si>
  <si>
    <t>גייקובס</t>
  </si>
  <si>
    <t>Jacobs kronung 47.5g</t>
  </si>
  <si>
    <t>קפה גיייקובס קורנינג 47.5 גרם</t>
  </si>
  <si>
    <t>Coffee Giiikobs Corning 47.5 g</t>
  </si>
  <si>
    <t>Jacobs_8714599513828</t>
  </si>
  <si>
    <t>נמס מיובש בהקפאה</t>
  </si>
  <si>
    <t>Giikobs_Coffee Giiikobs Corning 47.5 g_8714599513828</t>
  </si>
  <si>
    <t>****Giikobs_8714599513828</t>
  </si>
  <si>
    <t>Jacobs</t>
  </si>
  <si>
    <t>Jumex_G'omks 473 ml bottle of peach dozen</t>
  </si>
  <si>
    <t>ג'ומקס</t>
  </si>
  <si>
    <t>Jumex</t>
  </si>
  <si>
    <t>ג'ומקס אפרסק בקבוק 473 מ"ל תריסר</t>
  </si>
  <si>
    <t>G'omks 473 ml bottle of peach dozen</t>
  </si>
  <si>
    <t>Jumex_7501013101355</t>
  </si>
  <si>
    <t>G'omks_G'omks 473 ml bottle of peach dozen_7501013101355</t>
  </si>
  <si>
    <t>****G'omks_7501013101355</t>
  </si>
  <si>
    <t>Jumex_G'omks dozen liter carton pineapple</t>
  </si>
  <si>
    <t>ג'ומקס אננס קרטונית ליטר תריסר</t>
  </si>
  <si>
    <t>G'omks dozen liter carton pineapple</t>
  </si>
  <si>
    <t>Jumex_7501013122114</t>
  </si>
  <si>
    <t>G'omks_G'omks dozen liter carton pineapple_7501013122114</t>
  </si>
  <si>
    <t>****G'omks_7501013122114</t>
  </si>
  <si>
    <t>Jumex_G'omks liter carton dozen mangoes</t>
  </si>
  <si>
    <t>ג'ומקס מנגו קרטונית ליטר תריסר</t>
  </si>
  <si>
    <t>G'omks liter carton dozen mangoes</t>
  </si>
  <si>
    <t>Jumex_7501013122039</t>
  </si>
  <si>
    <t>G'omks_G'omks liter carton dozen mangoes_7501013122039</t>
  </si>
  <si>
    <t>****G'omks_7501013122039</t>
  </si>
  <si>
    <t>Jumex_G'omks liter carton dozen peach</t>
  </si>
  <si>
    <t>ג'ומקס אפרסק קרטונית ליטר תריסר</t>
  </si>
  <si>
    <t>G'omks liter carton dozen peach</t>
  </si>
  <si>
    <t>Jumex_7501013122053</t>
  </si>
  <si>
    <t>G'omks_G'omks liter carton dozen peach_7501013122053</t>
  </si>
  <si>
    <t>****G'omks_7501013122053</t>
  </si>
  <si>
    <t>Jumex_G'omks mango 473 ml bottle dozen</t>
  </si>
  <si>
    <t>ג'ומקס מנגו בקבוק 473 מ"ל תריסר</t>
  </si>
  <si>
    <t>G'omks mango 473 ml bottle dozen</t>
  </si>
  <si>
    <t>Jumex_7501013101348</t>
  </si>
  <si>
    <t>G'omks_G'omks mango 473 ml bottle dozen_7501013101348</t>
  </si>
  <si>
    <t>****G'omks_7501013101348</t>
  </si>
  <si>
    <t>Jumex_G'omks pineapple 473 ml bottle dozen</t>
  </si>
  <si>
    <t>ג'ומקס אננס בקבוק 473 מ"ל תריסר</t>
  </si>
  <si>
    <t>G'omks pineapple 473 ml bottle dozen</t>
  </si>
  <si>
    <t>Jumex_7501013101393</t>
  </si>
  <si>
    <t>G'omks_G'omks pineapple 473 ml bottle dozen_7501013101393</t>
  </si>
  <si>
    <t>****G'omks_7501013101393</t>
  </si>
  <si>
    <t>Jumex_G'omks pineapple coconut dozen quart carton</t>
  </si>
  <si>
    <t>ג'ומקס קוקוס אננס קרטונית ליטר תריסר</t>
  </si>
  <si>
    <t>G'omks pineapple coconut dozen quart carton</t>
  </si>
  <si>
    <t>Jumex_7501013122992</t>
  </si>
  <si>
    <t>G'omks_G'omks pineapple coconut dozen quart carton_7501013122992</t>
  </si>
  <si>
    <t>****G'omks_7501013122992</t>
  </si>
  <si>
    <t>Jumex_Gomks coconut pineapple 473 ml bottle dozen</t>
  </si>
  <si>
    <t>גומקס</t>
  </si>
  <si>
    <t>גומקס קוקוס אננס בקבוק 473 מ"ל תריסר</t>
  </si>
  <si>
    <t>Gomks coconut pineapple 473 ml bottle dozen</t>
  </si>
  <si>
    <t>Jumex_7501013101362</t>
  </si>
  <si>
    <t>Gomks_Gomks coconut pineapple 473 ml bottle dozen_7501013101362</t>
  </si>
  <si>
    <t>****Gomks_7501013101362</t>
  </si>
  <si>
    <t>Jumex_Unique fresco Beck grenades, 473 dozen</t>
  </si>
  <si>
    <t>יוניקו</t>
  </si>
  <si>
    <t>יוניקו פרסקו רימונים בק' 473 תריסר</t>
  </si>
  <si>
    <t>Unique fresco Beck grenades, 473 dozen</t>
  </si>
  <si>
    <t>Jumex_7501013101447</t>
  </si>
  <si>
    <t>Unique_Unique fresco Beck grenades, 473 dozen_7501013101447</t>
  </si>
  <si>
    <t>****Unique_7501013101447</t>
  </si>
  <si>
    <t>Jump_Gump grapes, 330 ml</t>
  </si>
  <si>
    <t>ג'אמפ</t>
  </si>
  <si>
    <t>Jump</t>
  </si>
  <si>
    <t>גאמפ ענבים, 330 מ"ל</t>
  </si>
  <si>
    <t>Gump grapes, 330 ml</t>
  </si>
  <si>
    <t>Jump_8464963</t>
  </si>
  <si>
    <t>FASHIONS_Gump grapes, 330 ml_7290008464963</t>
  </si>
  <si>
    <t>****FASHIONS_7290008464963</t>
  </si>
  <si>
    <t>Jump_Gump orange, 330 ml</t>
  </si>
  <si>
    <t>גאמפ תפוז, 330 מ"ל</t>
  </si>
  <si>
    <t>Gump orange, 330 ml</t>
  </si>
  <si>
    <t>Jump_8464895</t>
  </si>
  <si>
    <t>FASHIONS_Gump orange, 330 ml_7290008464895</t>
  </si>
  <si>
    <t>****FASHIONS_7290008464895</t>
  </si>
  <si>
    <t>Kagi_Kagyu wafer coated 50g milk market</t>
  </si>
  <si>
    <t>וופל</t>
  </si>
  <si>
    <t>Kagi</t>
  </si>
  <si>
    <t>וופל קאגי מצופה שוק חלב 50 גרם</t>
  </si>
  <si>
    <t>Kagyu wafer coated 50g milk market</t>
  </si>
  <si>
    <t>Kagi_7610046000808</t>
  </si>
  <si>
    <t>חטיפים מתוקים אחרים</t>
  </si>
  <si>
    <t>וופל אישי</t>
  </si>
  <si>
    <t>Wafer_Kagyu wafer coated 50g milk market_7610046000808</t>
  </si>
  <si>
    <t>****Wafer_7610046000808</t>
  </si>
  <si>
    <t>Kagi_Kagyu wafer coated with chocolate flavor 50g</t>
  </si>
  <si>
    <t>וופל קאגי מצופה טעם שוקו 50 גרם</t>
  </si>
  <si>
    <t>Kagyu wafer coated with chocolate flavor 50g</t>
  </si>
  <si>
    <t>Kagi_7610046000822</t>
  </si>
  <si>
    <t>Wafer_Kagyu wafer coated with chocolate flavor 50g_7610046000822</t>
  </si>
  <si>
    <t>****Wafer_7610046000822</t>
  </si>
  <si>
    <t>Kasteel-Rouge_Castel beer Rosie 330</t>
  </si>
  <si>
    <t>קסטל רוז</t>
  </si>
  <si>
    <t>Kasteel Rouge</t>
  </si>
  <si>
    <t>בירה קסטל רוזי 330</t>
  </si>
  <si>
    <t>Castel beer Rosie 330</t>
  </si>
  <si>
    <t>KasteelRouge_5411081003654</t>
  </si>
  <si>
    <t>Castel-Rose_Castel beer Rosie 330_5411081003654</t>
  </si>
  <si>
    <t>****Castel Rose_5411081003654</t>
  </si>
  <si>
    <t>KasteelRouge</t>
  </si>
  <si>
    <t>Kefli_Shipley Grill 70 g</t>
  </si>
  <si>
    <t>כיפלי</t>
  </si>
  <si>
    <t>Kefli</t>
  </si>
  <si>
    <t>כיפלי גריל 70 גר'</t>
  </si>
  <si>
    <t>Shipley Grill 70 g</t>
  </si>
  <si>
    <t>Kefli_110844</t>
  </si>
  <si>
    <t>Shipley_Shipley Grill 70 g_7290000110844</t>
  </si>
  <si>
    <t>****Shipley_7290000110844</t>
  </si>
  <si>
    <t>Kefli_Shipley onion 70 g</t>
  </si>
  <si>
    <t>כיפלי בצל 70 גר'</t>
  </si>
  <si>
    <t>Shipley onion 70 g</t>
  </si>
  <si>
    <t>Kefli_110851</t>
  </si>
  <si>
    <t>Shipley_Shipley onion 70 g_7290000110851</t>
  </si>
  <si>
    <t>****Shipley_7290000110851</t>
  </si>
  <si>
    <t>Kifkef_Fun palm nut sticks</t>
  </si>
  <si>
    <t>כיף כף</t>
  </si>
  <si>
    <t>Kifkef</t>
  </si>
  <si>
    <t>כיף כף מקלות אגוזים</t>
  </si>
  <si>
    <t>Fun palm nut sticks</t>
  </si>
  <si>
    <t>Kifkef-Maklot_7290105364302</t>
  </si>
  <si>
    <t>Fun-spoon_Fun palm nut sticks_7290105364302</t>
  </si>
  <si>
    <t>****Fun spoon_7290105364302</t>
  </si>
  <si>
    <t>Kifkef-Maklot</t>
  </si>
  <si>
    <t>Kifkef_Fun snacks spoon 55 grams</t>
  </si>
  <si>
    <t>נשנושים עלית</t>
  </si>
  <si>
    <t>Nishnushim Elite</t>
  </si>
  <si>
    <t>כיף כף נשנושים 55 גרם</t>
  </si>
  <si>
    <t>Fun snacks spoon 55 grams</t>
  </si>
  <si>
    <t>Nishnushim-elite_7290112347626</t>
  </si>
  <si>
    <t>Fun-spoon_Fun snacks spoon 55 grams_7290112347626</t>
  </si>
  <si>
    <t>****Fun spoon_7290112347626</t>
  </si>
  <si>
    <t>Nishnushim-elite</t>
  </si>
  <si>
    <t>Kifkef_Fun spoon 45 grams</t>
  </si>
  <si>
    <t>כיף כף 45 גרם</t>
  </si>
  <si>
    <t>Fun spoon 45 grams</t>
  </si>
  <si>
    <t>Kifkef_171470</t>
  </si>
  <si>
    <t>Fun-spoon_Fun spoon 45 grams_7290000171470</t>
  </si>
  <si>
    <t>****Fun spoon_7290000171470</t>
  </si>
  <si>
    <t>cashiers</t>
  </si>
  <si>
    <t>Kifkef_Fun tablespoon of bubble wrap</t>
  </si>
  <si>
    <t>כיף כף פצפצים</t>
  </si>
  <si>
    <t>Fun tablespoon of bubble wrap</t>
  </si>
  <si>
    <t>KifKef-Patzpatzim_7290107931397</t>
  </si>
  <si>
    <t>Fun-spoon_Fun tablespoon of bubble wrap_7290107931397</t>
  </si>
  <si>
    <t>****Fun spoon_7290107931397</t>
  </si>
  <si>
    <t>KifKef-Patzpatzim</t>
  </si>
  <si>
    <t>Kifkef_Fun tablespoon white 45 g</t>
  </si>
  <si>
    <t>כיף כף לבן 45 גר</t>
  </si>
  <si>
    <t>Fun tablespoon white 45 g</t>
  </si>
  <si>
    <t>Kifkef_7290105361707</t>
  </si>
  <si>
    <t>Fun-spoon_Fun tablespoon white 45 g_7290105361707</t>
  </si>
  <si>
    <t>****Fun spoon_7290105361707</t>
  </si>
  <si>
    <t>Kinder_Kinder Bueno White</t>
  </si>
  <si>
    <t>קינדר</t>
  </si>
  <si>
    <t>Kinder</t>
  </si>
  <si>
    <t>קינדר בואנו לבן</t>
  </si>
  <si>
    <t>Kinder Bueno White</t>
  </si>
  <si>
    <t>Kinder-Bueno_80761761</t>
  </si>
  <si>
    <t>Kinder_Kinder Bueno White_80761761</t>
  </si>
  <si>
    <t>****Kinder_80761761</t>
  </si>
  <si>
    <t>Kinder-Bueno</t>
  </si>
  <si>
    <t>Kinder_Kinder chocolate with grains 23.5 g</t>
  </si>
  <si>
    <t>קינדר שוקולד עם דגנים 23.5 גר'</t>
  </si>
  <si>
    <t>Kinder chocolate with grains 23.5 g</t>
  </si>
  <si>
    <t>Kinder-Country_80177180</t>
  </si>
  <si>
    <t>Kinder_Kinder chocolate with grains 23.5 g_80177180</t>
  </si>
  <si>
    <t>****Kinder_80177180</t>
  </si>
  <si>
    <t>Kinder-Country</t>
  </si>
  <si>
    <t>Kinder_Kinder Dellys single piece</t>
  </si>
  <si>
    <t>קינדר דליס יחידה בודדת</t>
  </si>
  <si>
    <t>Kinder Dellys single piece</t>
  </si>
  <si>
    <t>Kinder-Delice_8000500267035</t>
  </si>
  <si>
    <t>Kinder_Kinder Dellys single piece_8000500267035</t>
  </si>
  <si>
    <t>****Kinder_8000500267035</t>
  </si>
  <si>
    <t>Kinder-Delice</t>
  </si>
  <si>
    <t>Kinder_Kinder Joy Blue</t>
  </si>
  <si>
    <t>Kinder-Nutella</t>
  </si>
  <si>
    <t>קינדר ג'וי כחול</t>
  </si>
  <si>
    <t>Kinder Joy Blue</t>
  </si>
  <si>
    <t>Kinder-egg_80974482</t>
  </si>
  <si>
    <t>ביצי שוקולד</t>
  </si>
  <si>
    <t>Kinder_Kinder Joy Blue_80974482</t>
  </si>
  <si>
    <t>****Kinder_80974482</t>
  </si>
  <si>
    <t>Kinder-egg</t>
  </si>
  <si>
    <t>Kinder_Kinder Joy Pink</t>
  </si>
  <si>
    <t>קינדר ג'וי ורוד</t>
  </si>
  <si>
    <t>Kinder Joy Pink</t>
  </si>
  <si>
    <t>Kinder-egg_80768258</t>
  </si>
  <si>
    <t>Kinder_Kinder Joy Pink_80768258</t>
  </si>
  <si>
    <t>****Kinder_80768258</t>
  </si>
  <si>
    <t>Kinder_Kinder surprise egg</t>
  </si>
  <si>
    <t>ביצת הפתעה קינדר</t>
  </si>
  <si>
    <t>Kinder surprise egg</t>
  </si>
  <si>
    <t>Kinder-egg_40084107</t>
  </si>
  <si>
    <t>Kinder_Kinder surprise egg_40084107</t>
  </si>
  <si>
    <t>****Kinder_40084107</t>
  </si>
  <si>
    <t>Kinder_Milk chocolate stuffed with milk 100 gr</t>
  </si>
  <si>
    <t>קינדר שוקולד 100 גר'</t>
  </si>
  <si>
    <t>Milk chocolate stuffed with milk 100 gr</t>
  </si>
  <si>
    <t>Kinder_80177616</t>
  </si>
  <si>
    <t>Kinder_Sokobons 125 g</t>
  </si>
  <si>
    <t>שוקובונס 125 גר'</t>
  </si>
  <si>
    <t>Sokobons 125 g</t>
  </si>
  <si>
    <t>Kinder_5413548280189</t>
  </si>
  <si>
    <t>Kinder_Sokobons 125 g_5413548280189</t>
  </si>
  <si>
    <t>****Kinder_5413548280189</t>
  </si>
  <si>
    <t>Kinley_Kinley 1.5-liter soda</t>
  </si>
  <si>
    <t>קינלי</t>
  </si>
  <si>
    <t>Kinley</t>
  </si>
  <si>
    <t>קינלי סודה 1.5 ליטר</t>
  </si>
  <si>
    <t>Kinley 1.5-liter soda</t>
  </si>
  <si>
    <t>Kinley_284347</t>
  </si>
  <si>
    <t>סודה</t>
  </si>
  <si>
    <t>סודה משפחתי 1ל ומעלה</t>
  </si>
  <si>
    <t>Kinley_Kinley 1.5-liter soda_7290000284347</t>
  </si>
  <si>
    <t>****Kinley_7290000284347</t>
  </si>
  <si>
    <t>Kinley_Kinley Soda 250 ml</t>
  </si>
  <si>
    <t>קינלי סודה 250 מ"ל</t>
  </si>
  <si>
    <t>Kinley Soda 250 ml</t>
  </si>
  <si>
    <t>Kinley_1594230</t>
  </si>
  <si>
    <t>סודה אישי</t>
  </si>
  <si>
    <t>Kinley_Kinley Soda 250 ml_7290001594230</t>
  </si>
  <si>
    <t>****Kinley_7290001594230</t>
  </si>
  <si>
    <t>Kit-Kat_Kit Kat 4 fingers 36 * 41.5 g N1</t>
  </si>
  <si>
    <t>קיט קט</t>
  </si>
  <si>
    <t>Kit Kat</t>
  </si>
  <si>
    <t>קיט קט 4 אצבעות 36*41.5 גרם N1</t>
  </si>
  <si>
    <t>Kit Kat 4 fingers 36 * 41.5 g N1</t>
  </si>
  <si>
    <t>KitKat_40052403</t>
  </si>
  <si>
    <t>Kit-Kat_Kit Kat 4 fingers 36 * 41.5 g N1_40052403</t>
  </si>
  <si>
    <t>****Kit Kat_40052403</t>
  </si>
  <si>
    <t>KitKat</t>
  </si>
  <si>
    <t>Kit-Kat_Kit Kat Chunky cookie dough 24 * 42 g</t>
  </si>
  <si>
    <t>קיט קט צ'אנקי בצק עוגיות 24*42גרם</t>
  </si>
  <si>
    <t>Kit Kat Chunky cookie dough 24 * 42 g</t>
  </si>
  <si>
    <t>KitKat_3800020491393</t>
  </si>
  <si>
    <t>Kit-Kat_Kit Kat Chunky cookie dough 24 * 42 g_3800020491393</t>
  </si>
  <si>
    <t>****Kit Kat_3800020491393</t>
  </si>
  <si>
    <t>Kit-Kat_Kit Kat Chunky Milk 36 * 40 g N7</t>
  </si>
  <si>
    <t>קיט קט צ'אנקי חלב 36*40גרם N7</t>
  </si>
  <si>
    <t>Kit Kat Chunky Milk 36 * 40 g N7</t>
  </si>
  <si>
    <t>KitKat_3800020423578</t>
  </si>
  <si>
    <t>Kit-Kat_Kit Kat Chunky Milk 36 * 40 g N7_3800020423578</t>
  </si>
  <si>
    <t>****Kit Kat_3800020423578</t>
  </si>
  <si>
    <t>Kit-Kat_Kit Kat salted caramel 42 g 24 *</t>
  </si>
  <si>
    <t>קיט קט קרמל מלוח 24*42גרם</t>
  </si>
  <si>
    <t>Kit Kat salted caramel 42 g 24 *</t>
  </si>
  <si>
    <t>KitKat_3800020418130</t>
  </si>
  <si>
    <t>Kit-Kat_Kit Kat salted caramel 42 g 24 *_3800020418130</t>
  </si>
  <si>
    <t>****Kit Kat_3800020418130</t>
  </si>
  <si>
    <t>Kliat-Gat_200 grams of pumpkin seeds</t>
  </si>
  <si>
    <t>קלית גת</t>
  </si>
  <si>
    <t>Kliat Gat</t>
  </si>
  <si>
    <t>גרעיני דלעת 200 גרם</t>
  </si>
  <si>
    <t>200 grams of pumpkin seeds</t>
  </si>
  <si>
    <t>KliatGat_148489</t>
  </si>
  <si>
    <t>גרעיני דלעת</t>
  </si>
  <si>
    <t>Shekel-Gat_200 grams of pumpkin seeds_7290000148489</t>
  </si>
  <si>
    <t>****Shekel Gat_7290000148489</t>
  </si>
  <si>
    <t>Kliat-Gat_Almndos Spanish snack spicy, 200g</t>
  </si>
  <si>
    <t>אלמנדוס חטיף ספרדי פיקנטי, 200 גרם</t>
  </si>
  <si>
    <t>Almndos Spanish snack spicy, 200g</t>
  </si>
  <si>
    <t>KliatGat_7290003896141</t>
  </si>
  <si>
    <t>Shekel-Gat_Almndos Spanish snack spicy, 200g_7290003896141</t>
  </si>
  <si>
    <t>KliatGat</t>
  </si>
  <si>
    <t>Kliat-Gat_Almonds, 200g</t>
  </si>
  <si>
    <t>שקדים קלויים, 200 גרם</t>
  </si>
  <si>
    <t>Almonds, 200g</t>
  </si>
  <si>
    <t>KliatGat_148939</t>
  </si>
  <si>
    <t>שקדים</t>
  </si>
  <si>
    <t>Shekel-Gat_Almonds, 200g_7290000148939</t>
  </si>
  <si>
    <t>****Shekel Gat_7290000148939</t>
  </si>
  <si>
    <t>Kliat-Gat_American peanut roasting Gat 200g</t>
  </si>
  <si>
    <t>בוטנים אמריקאיים קליית גת 200 גרם</t>
  </si>
  <si>
    <t>American peanut roasting Gat 200g</t>
  </si>
  <si>
    <t>KliatGat_3009329</t>
  </si>
  <si>
    <t>Shekel-Gat_American peanut roasting Gat 200g_7290003009329</t>
  </si>
  <si>
    <t>****Shekel Gat_7290003009329</t>
  </si>
  <si>
    <t>Kliat-Gat_Bottles, 200 grams</t>
  </si>
  <si>
    <t>קבוקים, 200 גרם</t>
  </si>
  <si>
    <t>Bottles, 200 grams</t>
  </si>
  <si>
    <t>KliatGat_3009336</t>
  </si>
  <si>
    <t>קבוקים</t>
  </si>
  <si>
    <t>Shekel-Gat_Bottles, 200 grams_7290003009336</t>
  </si>
  <si>
    <t>****Shekel Gat_7290003009336</t>
  </si>
  <si>
    <t>Kliat-Gat_Fried cashew, 200g</t>
  </si>
  <si>
    <t>קשיו מטוגן, 200 גרם</t>
  </si>
  <si>
    <t>Fried cashew, 200g</t>
  </si>
  <si>
    <t>KliatGat_148618</t>
  </si>
  <si>
    <t>Shekel-Gat_Fried cashew, 200g_7290000148618</t>
  </si>
  <si>
    <t>****Shekel Gat_7290000148618</t>
  </si>
  <si>
    <t>Kliat-Gat_Gat shekel fried peanuts 200g</t>
  </si>
  <si>
    <t>בוטנים מטוגנים קלית גת 200 גרם</t>
  </si>
  <si>
    <t>Gat shekel fried peanuts 200g</t>
  </si>
  <si>
    <t>KliatGat_7290000377209</t>
  </si>
  <si>
    <t>Shekel-Gat_Gat shekel fried peanuts 200g_7290000377209</t>
  </si>
  <si>
    <t>Kliat-Gat_Mixed nuts roasted without salt 100g</t>
  </si>
  <si>
    <t>תערובת אגוזים קלויים ללא מלח 100 גרם</t>
  </si>
  <si>
    <t>Mixed nuts roasted without salt 100g</t>
  </si>
  <si>
    <t>KliatGat_7290111351327</t>
  </si>
  <si>
    <t>Shekel-Gat_Mixed nuts roasted without salt 100g_7290111351327</t>
  </si>
  <si>
    <t>Kliat-Gat_Nstzans 200g</t>
  </si>
  <si>
    <t>נשצאנס 200 גרם</t>
  </si>
  <si>
    <t>Nstzans 200g</t>
  </si>
  <si>
    <t>KliatGat_377445</t>
  </si>
  <si>
    <t>Shekel-Gat_Nstzans 200g_7290000377445</t>
  </si>
  <si>
    <t>****Shekel Gat_7290000377445</t>
  </si>
  <si>
    <t>Kliat-Gat_Peanuts 150g spicy sour</t>
  </si>
  <si>
    <t>פינאטס חמוץ חריף 150 גרם</t>
  </si>
  <si>
    <t>Peanuts 150g spicy sour</t>
  </si>
  <si>
    <t>KliatGat_7290003142699</t>
  </si>
  <si>
    <t>Shekel-Gat_Peanuts 150g spicy sour_7290003142699</t>
  </si>
  <si>
    <t>Kliat-Gat_Pistachio roasted, 100 g</t>
  </si>
  <si>
    <t>פיסטוק קלוי, 100 גרם</t>
  </si>
  <si>
    <t>Pistachio roasted, 100 g</t>
  </si>
  <si>
    <t>KliatGat_3145584</t>
  </si>
  <si>
    <t>Shekel-Gat_Pistachio roasted, 100 g_7290003145584</t>
  </si>
  <si>
    <t>****Shekel Gat_7290003145584</t>
  </si>
  <si>
    <t>Kliat-Gat_Roasted cashew C., 100 g</t>
  </si>
  <si>
    <t>קשיו קלויי ג, 100 גרם</t>
  </si>
  <si>
    <t>Roasted cashew C., 100 g</t>
  </si>
  <si>
    <t>KliatGat_3145577</t>
  </si>
  <si>
    <t>Shekel-Gat_Roasted cashew C., 100 g_7290003145577</t>
  </si>
  <si>
    <t>****Shekel Gat_7290003145577</t>
  </si>
  <si>
    <t>Kliat-Gat_Roasted Peanut 200 g</t>
  </si>
  <si>
    <t>בוטן קלוי 200 גרם</t>
  </si>
  <si>
    <t>Roasted Peanut 200 g</t>
  </si>
  <si>
    <t>KliatGat_3009312</t>
  </si>
  <si>
    <t>Shekel-Gat_Roasted Peanut 200 g_7290003009312</t>
  </si>
  <si>
    <t>****Shekel Gat_7290003009312</t>
  </si>
  <si>
    <t>Kliat-Gat_Roasted pistachios. 200 g roasting the nature</t>
  </si>
  <si>
    <t>פיסטוקים קלויים. 200 גרם קליית גת</t>
  </si>
  <si>
    <t>Roasted pistachios. 200 g roasting the nature</t>
  </si>
  <si>
    <t>KliatGat_148380</t>
  </si>
  <si>
    <t>The-nature_Roasted pistachios. 200 g roasting the nature_7290000148380</t>
  </si>
  <si>
    <t>****The nature_7290000148380</t>
  </si>
  <si>
    <t>Kliat-Gat_Sunflower seeds, 200 g</t>
  </si>
  <si>
    <t>גרעיני חמניה, 200 גרם</t>
  </si>
  <si>
    <t>Sunflower seeds, 200 g</t>
  </si>
  <si>
    <t>KliatGat_148748</t>
  </si>
  <si>
    <t>Shekel-Gat_Sunflower seeds, 200 g_7290000148748</t>
  </si>
  <si>
    <t>****Shekel Gat_7290000148748</t>
  </si>
  <si>
    <t>Kliat-Gat_The American Peanut, 50 g</t>
  </si>
  <si>
    <t>בוטן אמריקאי, 50 גרם</t>
  </si>
  <si>
    <t>The American Peanut, 50 g</t>
  </si>
  <si>
    <t>American-Nuts_3145768</t>
  </si>
  <si>
    <t>Shekel-Gat_The American Peanut, 50 g_7290003145768</t>
  </si>
  <si>
    <t>****Shekel Gat_7290003145768</t>
  </si>
  <si>
    <t>Kliat-Gat_Toasted Almond, 100 g</t>
  </si>
  <si>
    <t>שקד קלוי, 100 גרם</t>
  </si>
  <si>
    <t>Toasted Almond, 100 g</t>
  </si>
  <si>
    <t>KliatGat_3145560</t>
  </si>
  <si>
    <t>Shekel-Gat_Toasted Almond, 100 g_7290003145560</t>
  </si>
  <si>
    <t>****Shekel Gat_7290003145560</t>
  </si>
  <si>
    <t>Kliat-Gat_Watermelon seeds, 200 g</t>
  </si>
  <si>
    <t>גרעיני אבטיח, 200 גרם</t>
  </si>
  <si>
    <t>KliatGat_377452</t>
  </si>
  <si>
    <t>Shekel-Gat_Watermelon seeds, 200 g_7290000377452</t>
  </si>
  <si>
    <t>****Shekel Gat_7290000377452</t>
  </si>
  <si>
    <t>Labane-Strauss_Labaneh cheese 10% fat</t>
  </si>
  <si>
    <t>שטראוס</t>
  </si>
  <si>
    <t>Labane Strauss</t>
  </si>
  <si>
    <t>גבינת לאבנה 10% שמן</t>
  </si>
  <si>
    <t>Labaneh cheese 10% fat</t>
  </si>
  <si>
    <t>LabaneStrauss_7290106664067</t>
  </si>
  <si>
    <t>גבינת לאבנה</t>
  </si>
  <si>
    <t>לאבנה</t>
  </si>
  <si>
    <t>Strauss_Labaneh cheese 10% fat_7290106664067</t>
  </si>
  <si>
    <t>****Strauss_7290106664067</t>
  </si>
  <si>
    <t>LabaneStrauss</t>
  </si>
  <si>
    <t>Lakhmit_Conjunctiva nuts, 160 g</t>
  </si>
  <si>
    <t>לחמית</t>
  </si>
  <si>
    <t>Lakhmit</t>
  </si>
  <si>
    <t>לחמית אגוזים, 160 גרם</t>
  </si>
  <si>
    <t>Conjunctiva nuts, 160 g</t>
  </si>
  <si>
    <t>Lachmit_74481</t>
  </si>
  <si>
    <t>conjunctiva_Conjunctiva nuts, 160 g_7290000074481</t>
  </si>
  <si>
    <t>****conjunctiva_7290000074481</t>
  </si>
  <si>
    <t>Lakhmit_Conjunctiva Rye barn 250g</t>
  </si>
  <si>
    <t>לחמית שיפון אסם 250 גרם</t>
  </si>
  <si>
    <t>Conjunctiva Rye barn 250g</t>
  </si>
  <si>
    <t>Lachmit_6983176</t>
  </si>
  <si>
    <t>conjunctiva_Conjunctiva Rye barn 250g_7290006983176</t>
  </si>
  <si>
    <t>****conjunctiva_7290006983176</t>
  </si>
  <si>
    <t>Lakhmit_Conjunctiva wheat, 250 g</t>
  </si>
  <si>
    <t>לחמית חיטה מלאה, 250 גרם</t>
  </si>
  <si>
    <t>Conjunctiva wheat, 250 g</t>
  </si>
  <si>
    <t>Lachmit_75204</t>
  </si>
  <si>
    <t>conjunctiva_Conjunctiva wheat, 250 g_7290000075204</t>
  </si>
  <si>
    <t>****conjunctiva_7290000075204</t>
  </si>
  <si>
    <t>Lakhmit_Rural conjunctiva 190 g</t>
  </si>
  <si>
    <t>לחמית כפרית 190 גרם</t>
  </si>
  <si>
    <t>Rural conjunctiva 190 g</t>
  </si>
  <si>
    <t>Lachmit_77253</t>
  </si>
  <si>
    <t>conjunctiva_Rural conjunctiva 190 g_7290000077253</t>
  </si>
  <si>
    <t>****conjunctiva_7290000077253</t>
  </si>
  <si>
    <t>Landwer-capsules-supremo-10_Landwer 10 writers espresso capsules</t>
  </si>
  <si>
    <t>לנדוור</t>
  </si>
  <si>
    <t>Landwer capsules supremo 10</t>
  </si>
  <si>
    <t>לנדוור קפסולות אספרסו סופרימו 10</t>
  </si>
  <si>
    <t>Landwer 10 writers espresso capsules</t>
  </si>
  <si>
    <t>Capsules-Caffe-Landwer_7290014066380</t>
  </si>
  <si>
    <t>Landwer_Landwer 10 writers espresso capsules_7290014066380</t>
  </si>
  <si>
    <t>****Landwer_7290014066380</t>
  </si>
  <si>
    <t>Capsules-Caffe-Landwer</t>
  </si>
  <si>
    <t>Landwer-capsules-classic-09_Landwer Espresso Classic 09 Capsules</t>
  </si>
  <si>
    <t>Landwer capsules classic 09</t>
  </si>
  <si>
    <t>לנדוור קפסולות אספרסו קלאסיק 09</t>
  </si>
  <si>
    <t>Landwer Espresso Classic 09 Capsules</t>
  </si>
  <si>
    <t>Capsules-Caffe-Landwer_7290014066373</t>
  </si>
  <si>
    <t>Landwer_Landwer Espresso Classic 09 Capsules_7290014066373</t>
  </si>
  <si>
    <t>****Landwer_7290014066373</t>
  </si>
  <si>
    <t>Loacker_Almond Cookies Loacker</t>
  </si>
  <si>
    <t>לואקר</t>
  </si>
  <si>
    <t>Loacker</t>
  </si>
  <si>
    <t>עוגיות לואקר שקדים</t>
  </si>
  <si>
    <t>Almond Cookies Loacker</t>
  </si>
  <si>
    <t>Loacker_8000380187249</t>
  </si>
  <si>
    <t>עוגיות פרימיום</t>
  </si>
  <si>
    <t>עוגיות מצופות פרימיום</t>
  </si>
  <si>
    <t>Loacker_Almond Cookies Loacker_8000380187249</t>
  </si>
  <si>
    <t>****Loacker_8000380187249</t>
  </si>
  <si>
    <t>Loacker_Classic Loacker Chocolate</t>
  </si>
  <si>
    <t>לואקר קלאסיק שוקולד</t>
  </si>
  <si>
    <t>Classic Loacker Chocolate</t>
  </si>
  <si>
    <t>Loacker_8000380153466</t>
  </si>
  <si>
    <t>Loacker_Classic Loacker Chocolate_8000380153466</t>
  </si>
  <si>
    <t>****Loacker_8000380153466</t>
  </si>
  <si>
    <t>Loacker_Coconut Loacker Gardena</t>
  </si>
  <si>
    <t>לואקר גרדנה קוקוס</t>
  </si>
  <si>
    <t>Coconut Loacker Gardena</t>
  </si>
  <si>
    <t>Gardena_80001485</t>
  </si>
  <si>
    <t>Loacker_Coconut Loacker Gardena_80001485</t>
  </si>
  <si>
    <t>****Loacker_80001485</t>
  </si>
  <si>
    <t>Gardena</t>
  </si>
  <si>
    <t>Loacker_Cookies Loacker snowflakes</t>
  </si>
  <si>
    <t>עוגיות לואקר פתיתי שלג</t>
  </si>
  <si>
    <t>Cookies Loacker snowflakes</t>
  </si>
  <si>
    <t>Loacker_8000380187300</t>
  </si>
  <si>
    <t>Loacker_Cookies Loacker snowflakes_8000380187300</t>
  </si>
  <si>
    <t>****Loacker_8000380187300</t>
  </si>
  <si>
    <t>Loacker_Gardena Loacker chocolate</t>
  </si>
  <si>
    <t>לואקר גרדנה שוקולד</t>
  </si>
  <si>
    <t>Gardena Loacker chocolate</t>
  </si>
  <si>
    <t>Gardena_80001461</t>
  </si>
  <si>
    <t>Loacker_Gardena Loacker chocolate_80001461</t>
  </si>
  <si>
    <t>****Loacker_80001461</t>
  </si>
  <si>
    <t>Loacker_Grand Patisserie Coconut</t>
  </si>
  <si>
    <t>גרנד פטיסרי קוקוס</t>
  </si>
  <si>
    <t>Grand Patisserie Coconut</t>
  </si>
  <si>
    <t>Loacker_8000380003761</t>
  </si>
  <si>
    <t>Grand-Patisserie_Grand Patisserie Coconut_8000380003761</t>
  </si>
  <si>
    <t>****Grand Patisserie_8000380003761</t>
  </si>
  <si>
    <t>Loacker_Hazelnut Cookies Loacker</t>
  </si>
  <si>
    <t>עוגיות לואקר אגוזי לוז</t>
  </si>
  <si>
    <t>Hazelnut Cookies Loacker</t>
  </si>
  <si>
    <t>Loacker_8000380187119</t>
  </si>
  <si>
    <t>Loacker_Hazelnut Cookies Loacker_8000380187119</t>
  </si>
  <si>
    <t>****Loacker_8000380187119</t>
  </si>
  <si>
    <t>Loacker_Koadrtini nut</t>
  </si>
  <si>
    <t>קואדרטיני אגוז</t>
  </si>
  <si>
    <t>Koadrtini nut</t>
  </si>
  <si>
    <t>Loacker_8000380004911</t>
  </si>
  <si>
    <t>וופל קוביות</t>
  </si>
  <si>
    <t>Loacker_Koadrtini nut_8000380004911</t>
  </si>
  <si>
    <t>****Loacker_8000380004911</t>
  </si>
  <si>
    <t>Loacker_Loacker chocolate Koardtini</t>
  </si>
  <si>
    <t>לואקר קוארדטיני שוקולד</t>
  </si>
  <si>
    <t>Loacker chocolate Koardtini</t>
  </si>
  <si>
    <t>Loacker_8000380004966</t>
  </si>
  <si>
    <t>Loacker_Loacker chocolate Koardtini_8000380004966</t>
  </si>
  <si>
    <t>****Loacker_8000380004966</t>
  </si>
  <si>
    <t>Loacker_Loacker chocolate-milk Koadrtini</t>
  </si>
  <si>
    <t>לואקר קואדרטיני שוקו-חלב</t>
  </si>
  <si>
    <t>Loacker chocolate-milk Koadrtini</t>
  </si>
  <si>
    <t>Loacker_8000380180745</t>
  </si>
  <si>
    <t>Loacker_Loacker chocolate-milk Koadrtini_8000380180745</t>
  </si>
  <si>
    <t>****Loacker_8000380180745</t>
  </si>
  <si>
    <t>Loacker_Loacker Classic Walnut</t>
  </si>
  <si>
    <t>לואקר קלאסיק אגוז</t>
  </si>
  <si>
    <t>Loacker Classic Walnut</t>
  </si>
  <si>
    <t>Loacker_8000380007219</t>
  </si>
  <si>
    <t>Loacker_Loacker Classic Walnut_8000380007219</t>
  </si>
  <si>
    <t>****Loacker_8000380007219</t>
  </si>
  <si>
    <t>Loacker_Loacker Gardena nut</t>
  </si>
  <si>
    <t>לואקר גרדנה אגוז</t>
  </si>
  <si>
    <t>Loacker Gardena nut</t>
  </si>
  <si>
    <t>Loacker_8000380007257</t>
  </si>
  <si>
    <t>Loacker_Loacker Gardena nut_8000380007257</t>
  </si>
  <si>
    <t>****Loacker_8000380007257</t>
  </si>
  <si>
    <t>Loacker_Loacker Gran Pasticceria nut</t>
  </si>
  <si>
    <t>לואקר גרנד פטיסרי אגוז</t>
  </si>
  <si>
    <t>Loacker Gran Pasticceria nut</t>
  </si>
  <si>
    <t>Loacker_8000380003723</t>
  </si>
  <si>
    <t>Loacker_Loacker Gran Pasticceria nut_8000380003723</t>
  </si>
  <si>
    <t>****Loacker_8000380003723</t>
  </si>
  <si>
    <t>Loacker_Loacker milk chocolate tortilla</t>
  </si>
  <si>
    <t>לואקר טורטינה שוקולד חלב</t>
  </si>
  <si>
    <t>Loacker milk chocolate tortilla</t>
  </si>
  <si>
    <t>Tortina_80001027</t>
  </si>
  <si>
    <t>Loacker_Loacker milk chocolate tortilla_80001027</t>
  </si>
  <si>
    <t>****Loacker_80001027</t>
  </si>
  <si>
    <t>Tortina</t>
  </si>
  <si>
    <t>Loacker_Loacker nut waffles 90g</t>
  </si>
  <si>
    <t>ופל אגוז לואקר 90 גרם</t>
  </si>
  <si>
    <t>Loacker nut waffles 90g</t>
  </si>
  <si>
    <t>Loacker_8000380153442</t>
  </si>
  <si>
    <t>Loacker_Loacker nut waffles 90g_8000380153442</t>
  </si>
  <si>
    <t>****Loacker_8000380153442</t>
  </si>
  <si>
    <t>Loacker_Loacker Sandwich Vanilla</t>
  </si>
  <si>
    <t>לואקר סנדוויץ' וניל</t>
  </si>
  <si>
    <t>Loacker Sandwich Vanilla</t>
  </si>
  <si>
    <t>Loacker_8000380004676</t>
  </si>
  <si>
    <t>Loacker_Loacker Sandwich Vanilla_8000380004676</t>
  </si>
  <si>
    <t>****Loacker_8000380004676</t>
  </si>
  <si>
    <t>Lotus_Lotus biscuits packed in pairs 124 g</t>
  </si>
  <si>
    <t>לוטוס</t>
  </si>
  <si>
    <t>Lotus</t>
  </si>
  <si>
    <t>עוגיות לוטוס ארוזות בזוגות 124 גרם</t>
  </si>
  <si>
    <t>Lotus biscuits packed in pairs 124 g</t>
  </si>
  <si>
    <t>lotus-biscoff_5410126006339</t>
  </si>
  <si>
    <t>עוגיות יבשות פרימיום</t>
  </si>
  <si>
    <t>lotus_Lotus biscuits packed in pairs 124 g_5410126006339</t>
  </si>
  <si>
    <t>****lotus_5410126006339</t>
  </si>
  <si>
    <t>lotus-biscoff</t>
  </si>
  <si>
    <t>Maccabee_Maccabee Beer 330 m 7.9%</t>
  </si>
  <si>
    <t>מכבי</t>
  </si>
  <si>
    <t>Maccabee</t>
  </si>
  <si>
    <t>בירה מכבי 7.9 % 330 מ</t>
  </si>
  <si>
    <t>Maccabee Beer 330 m 7.9%</t>
  </si>
  <si>
    <t>maccabee_8464208</t>
  </si>
  <si>
    <t>Maccabi_Maccabi Beer 330 m 7.9%_7290008464208</t>
  </si>
  <si>
    <t>****Maccabi_7290008464208</t>
  </si>
  <si>
    <t>Maccabee_Maccabee Beer 7.9% tin, 500 ml</t>
  </si>
  <si>
    <t>בירה מכבי 7.9% פחית, 500 מ"ל</t>
  </si>
  <si>
    <t>Maccabee Beer 7.9% tin, 500 ml</t>
  </si>
  <si>
    <t>maccabee_8464222</t>
  </si>
  <si>
    <t>Maccabi_Maccabi Beer 7.9% tin, 500 ml_7290008464222</t>
  </si>
  <si>
    <t>****Maccabi_7290008464222</t>
  </si>
  <si>
    <t>Maccabee_Maccabee beer bottle, 330 ml</t>
  </si>
  <si>
    <t>בירה מכבי בקבוק, 330 מ"ל</t>
  </si>
  <si>
    <t>Maccabee beer bottle, 330 ml</t>
  </si>
  <si>
    <t>maccabee_8464338</t>
  </si>
  <si>
    <t>Maccabi_Maccabi beer bottle, 330 ml_7290008464338</t>
  </si>
  <si>
    <t>****Maccabi_7290008464338</t>
  </si>
  <si>
    <t>Maccabee_Maccabee can of beer, 500 ml</t>
  </si>
  <si>
    <t>בירה מכבי פחית, 500 מ"ל</t>
  </si>
  <si>
    <t>Maccabee can of beer, 500 ml</t>
  </si>
  <si>
    <t>maccabee_8464475</t>
  </si>
  <si>
    <t>Maccabi_Maccabi can of beer, 500 ml_7290008464475</t>
  </si>
  <si>
    <t>****Maccabi_7290008464475</t>
  </si>
  <si>
    <t>Malka_Light Beer Queen 6.5% alcohol 330 ml</t>
  </si>
  <si>
    <t>מלכה</t>
  </si>
  <si>
    <t>Malka</t>
  </si>
  <si>
    <t>בירה מלכה בהירה 6.5% כוהל 330 מל</t>
  </si>
  <si>
    <t>Light Beer Queen 6.5% alcohol 330 ml</t>
  </si>
  <si>
    <t>Malka_7290012921025</t>
  </si>
  <si>
    <t>Queen_Light Beer Queen 6.5% alcohol 330 ml_7290012921025</t>
  </si>
  <si>
    <t>****Queen_7290012921025</t>
  </si>
  <si>
    <t>Malka_Peony Queen beer 5.5% alcohol 330 ml</t>
  </si>
  <si>
    <t>בירה מלכה אדמונית 5.5% כוהל 330 מל</t>
  </si>
  <si>
    <t>Peony Queen beer 5.5% alcohol 330 ml</t>
  </si>
  <si>
    <t>Malka_7290012921032</t>
  </si>
  <si>
    <t>Queen_Peony Queen beer 5.5% alcohol 330 ml_7290012921032</t>
  </si>
  <si>
    <t>****Queen_7290012921032</t>
  </si>
  <si>
    <t>Mana-Hama_Hot dish chicken flavored noodles 70g</t>
  </si>
  <si>
    <t>מנה חמה</t>
  </si>
  <si>
    <t>Mana Hama</t>
  </si>
  <si>
    <t>Osem-Knorr</t>
  </si>
  <si>
    <t>מנה חמה נודלס בטעם עוף 70 גרם</t>
  </si>
  <si>
    <t>Hot dish chicken flavored noodles 70g</t>
  </si>
  <si>
    <t>Mana-hama_73750</t>
  </si>
  <si>
    <t>תבשילים ותערובות</t>
  </si>
  <si>
    <t>תבשיל אישי</t>
  </si>
  <si>
    <t>Hot-dish_Hot dish chicken flavored noodles 70g_73750</t>
  </si>
  <si>
    <t>****Hot dish_73750</t>
  </si>
  <si>
    <t>Mana-hama</t>
  </si>
  <si>
    <t>Mana-Hama_Hot dish of couscous and vegetables December 12 * 84 g</t>
  </si>
  <si>
    <t>מנה חמה קוסקוס וירקות בדצ 12*84גרם</t>
  </si>
  <si>
    <t>Hot dish of couscous and vegetables December 12 * 84 g</t>
  </si>
  <si>
    <t>Mana-hama_65557</t>
  </si>
  <si>
    <t>Hot-dish_Hot dish of couscous and vegetables December 12 * 84 g_65557</t>
  </si>
  <si>
    <t>****Hot dish_65557</t>
  </si>
  <si>
    <t>Mana-Hama_Hot dish of spaghetti bolognese 12 * 65 g</t>
  </si>
  <si>
    <t>מנה חמה ספגטי בולונז 12*65גרם</t>
  </si>
  <si>
    <t>Hot dish of spaghetti bolognese 12 * 65 g</t>
  </si>
  <si>
    <t>Mana-hama_67599</t>
  </si>
  <si>
    <t>Hot-dish_Hot dish of spaghetti bolognese 12 * 65 g_67599</t>
  </si>
  <si>
    <t>****Hot dish_67599</t>
  </si>
  <si>
    <t>Mana-Hama_Hot dish spicy Vietnamese noodles 6 6 * 75g</t>
  </si>
  <si>
    <t>מנה חמה נודלס ויאטנמי חריף 6 6*75גרם</t>
  </si>
  <si>
    <t>Hot dish spicy Vietnamese noodles 6 6 * 75g</t>
  </si>
  <si>
    <t>Mana-hama_7290112969538</t>
  </si>
  <si>
    <t>Hot-dish_Hot dish spicy Vietnamese noodles 6 6 * 75g_7290112969538</t>
  </si>
  <si>
    <t>****Hot dish_7290112969538</t>
  </si>
  <si>
    <t>Mana-Hama_Noodle hot dish. + 6 Thai vegetables 6 * 76 g</t>
  </si>
  <si>
    <t>מנה חמה נודל.+ירקות תאילנדי6 6*76גרם</t>
  </si>
  <si>
    <t>Noodle hot dish. + 6 Thai vegetables 6 * 76 g</t>
  </si>
  <si>
    <t>Mana-hama_7290100680650</t>
  </si>
  <si>
    <t>Hot-dish_Noodle hot dish. + 6 Thai vegetables 6 * 76 g_7290100680650</t>
  </si>
  <si>
    <t>****Hot dish_7290100680650</t>
  </si>
  <si>
    <t>Mana-Hama_Thai noodle dish spicy hot 6 6 * 75g</t>
  </si>
  <si>
    <t>מנה חמה נודלס תאילנדי חריף 6 6*75גרם</t>
  </si>
  <si>
    <t>Thai noodle dish spicy hot 6 6 * 75g</t>
  </si>
  <si>
    <t>Mana-hama_7290112969965</t>
  </si>
  <si>
    <t>Hot-dish_Thai noodle dish spicy hot 6 6 * 75g_7290112969965</t>
  </si>
  <si>
    <t>****Hot dish_7290112969965</t>
  </si>
  <si>
    <t>Mars_Snack March 51 grams</t>
  </si>
  <si>
    <t>מרס</t>
  </si>
  <si>
    <t>Mars</t>
  </si>
  <si>
    <t>חטיף מרס 51 גרם</t>
  </si>
  <si>
    <t>Snack March 51 grams</t>
  </si>
  <si>
    <t>Mars_5000159407236</t>
  </si>
  <si>
    <t>March_Snack March 51 grams_5000159407236</t>
  </si>
  <si>
    <t>****March_5000159407236</t>
  </si>
  <si>
    <t>Master_Coffee Vanilla master can of 240 ml</t>
  </si>
  <si>
    <t>מאסטר</t>
  </si>
  <si>
    <t>Master</t>
  </si>
  <si>
    <t>מאסטר קפה וונילה פחית 240 מל</t>
  </si>
  <si>
    <t>Coffee Vanilla master can of 240 ml</t>
  </si>
  <si>
    <t>MasterCafe_4710068002798</t>
  </si>
  <si>
    <t>Master_Coffee Vanilla master can of 240 ml_4710068002798</t>
  </si>
  <si>
    <t>****Master_4710068002798</t>
  </si>
  <si>
    <t>MasterCafe</t>
  </si>
  <si>
    <t>Master_Master iced coffee drink coffee Classico 240 ml</t>
  </si>
  <si>
    <t>מאסטר קפה משקה קפה קר קלאסיקו 240 מל</t>
  </si>
  <si>
    <t>Master iced coffee drink coffee Classico 240 ml</t>
  </si>
  <si>
    <t>MasterCafe_4710068001739</t>
  </si>
  <si>
    <t>Master_Master iced coffee drink coffee Classico 240 ml_4710068001739</t>
  </si>
  <si>
    <t>****Master_4710068001739</t>
  </si>
  <si>
    <t>Master_Master iced coffee latte drink a can of 240 ml</t>
  </si>
  <si>
    <t>מאסטר משקה קפה קר לאטה פחית 240 מל</t>
  </si>
  <si>
    <t>Master iced coffee latte drink a can of 240 ml</t>
  </si>
  <si>
    <t>MasterCafe_4710068001692</t>
  </si>
  <si>
    <t>Master_Master iced coffee latte drink a can of 240 ml_4710068001692</t>
  </si>
  <si>
    <t>****Master_4710068001692</t>
  </si>
  <si>
    <t>Master_Master tiramisu iced coffee beverage can 240 ml</t>
  </si>
  <si>
    <t>מאסטר משקה קפה קר טרמיסו פחית 240 מל</t>
  </si>
  <si>
    <t>Master tiramisu iced coffee beverage can 240 ml</t>
  </si>
  <si>
    <t>MasterCafe_4710068001715</t>
  </si>
  <si>
    <t>Master_Master tiramisu iced coffee beverage can 240 ml_4710068001715</t>
  </si>
  <si>
    <t>****Master_4710068001715</t>
  </si>
  <si>
    <t>Meal_Meal road</t>
  </si>
  <si>
    <t>ארוחה</t>
  </si>
  <si>
    <t>Meal</t>
  </si>
  <si>
    <t>ארוחה לדרך</t>
  </si>
  <si>
    <t>Meal road</t>
  </si>
  <si>
    <t>Meal_2</t>
  </si>
  <si>
    <t>Meal_Meal road_2</t>
  </si>
  <si>
    <t>****Meal_2</t>
  </si>
  <si>
    <t>RMS</t>
  </si>
  <si>
    <t>Mekupelet_Folded - excellent milk chocolate bar</t>
  </si>
  <si>
    <t>מקופלת</t>
  </si>
  <si>
    <t>Mekupelet</t>
  </si>
  <si>
    <t>מקופלת - חטיף שוקולד חלב מעולה</t>
  </si>
  <si>
    <t>Folded - excellent milk chocolate bar</t>
  </si>
  <si>
    <t>Mekupelet_72917589</t>
  </si>
  <si>
    <t>Folded_Folded - excellent milk chocolate bar_72917589</t>
  </si>
  <si>
    <t>****Folded_72917589</t>
  </si>
  <si>
    <t>Mentos_Mentos candies fruits - 37.5 g</t>
  </si>
  <si>
    <t>מנטוס</t>
  </si>
  <si>
    <t>Mentos</t>
  </si>
  <si>
    <t>סוכריות מנטוס פירות - 37.5 גרם</t>
  </si>
  <si>
    <t>Mentos candies fruits - 37.5 g</t>
  </si>
  <si>
    <t>Mentos_2752332</t>
  </si>
  <si>
    <t>סוכריות קשות</t>
  </si>
  <si>
    <t>סוכריות קשות לל"ס קופסא</t>
  </si>
  <si>
    <t>Mentos_Mentos candies fruits - 37.5 g_7290002752332</t>
  </si>
  <si>
    <t>****Mentos_7290002752332</t>
  </si>
  <si>
    <t>Mentos_Mentos candy mint - 37.5 g</t>
  </si>
  <si>
    <t>סוכריות מנטוס מנטה - 37.5 גרם</t>
  </si>
  <si>
    <t>Mentos candy mint - 37.5 g</t>
  </si>
  <si>
    <t>Mentos_2752349</t>
  </si>
  <si>
    <t>Mentos_Mentos candy mint - 37.5 g_7290002752349</t>
  </si>
  <si>
    <t>****Mentos_7290002752349</t>
  </si>
  <si>
    <t>Mentos_Roll of Mentos candy Riinbao 37.5 g</t>
  </si>
  <si>
    <t>סוכריות מנטוס ריינבאו גליל 37.5 גרם</t>
  </si>
  <si>
    <t>Roll of Mentos candy Riinbao 37.5 g</t>
  </si>
  <si>
    <t>Mentos_87311396</t>
  </si>
  <si>
    <t>סוכריות לעיסות</t>
  </si>
  <si>
    <t>סוכריות לעיסות אחרות</t>
  </si>
  <si>
    <t>Mentos_Roll of Mentos candy Riinbao 37.5 g_87311396</t>
  </si>
  <si>
    <t>****Mentos_87311396</t>
  </si>
  <si>
    <t>Mentos_Sugar-free candy refresh gentle mint flavor</t>
  </si>
  <si>
    <t>ממתק לרענון ללא סוכר בטעם מנטה עדינה</t>
  </si>
  <si>
    <t>Sugar-free candy refresh gentle mint flavor</t>
  </si>
  <si>
    <t>Mentos_80831402</t>
  </si>
  <si>
    <t>Mentos_Sugar-free candy refresh gentle mint flavor_80831402</t>
  </si>
  <si>
    <t>****Mentos_80831402</t>
  </si>
  <si>
    <t>Mentos_Sugar-free candy refreshing peppermint flavor</t>
  </si>
  <si>
    <t>ממתק לרענון ללא סוכר בטעם מנטה</t>
  </si>
  <si>
    <t>Sugar-free candy refreshing peppermint flavor</t>
  </si>
  <si>
    <t>Mentos_80854753</t>
  </si>
  <si>
    <t>Mentos_Sugar-free candy refreshing peppermint flavor_80854753</t>
  </si>
  <si>
    <t>****Mentos_80854753</t>
  </si>
  <si>
    <t>Merba_Mini cookies lot of chips 175 grams</t>
  </si>
  <si>
    <t>מרבה</t>
  </si>
  <si>
    <t>Merba</t>
  </si>
  <si>
    <t>מיני עוגיות מרבה ש ציפס 175 גרם</t>
  </si>
  <si>
    <t>Mini cookies lot of chips 175 grams</t>
  </si>
  <si>
    <t>Merba_8710502231018</t>
  </si>
  <si>
    <t>עוגיות שוקוציפס פרימיום</t>
  </si>
  <si>
    <t>Often_Mini cookies lot of chips 175 grams_8710502231018</t>
  </si>
  <si>
    <t>****Often_8710502231018</t>
  </si>
  <si>
    <t>Merba_Often Cookies Chocolate Chips 37%</t>
  </si>
  <si>
    <t>מרבה עוגיות 37% שוקולד ציפס</t>
  </si>
  <si>
    <t>Often Cookies Chocolate Chips 37%</t>
  </si>
  <si>
    <t>Choclatechip-Merba_46214731552</t>
  </si>
  <si>
    <t>Often_Often Cookies Chocolate Chips 37%_46214731552</t>
  </si>
  <si>
    <t>****Often_46214731552</t>
  </si>
  <si>
    <t>Choclatechip-Merba</t>
  </si>
  <si>
    <t>Mey-Eden_Eden athletes stopper 500 ml</t>
  </si>
  <si>
    <t>מי עדן</t>
  </si>
  <si>
    <t>Mey Eden</t>
  </si>
  <si>
    <t>מי עדן פקק ספורטאים 500 מל</t>
  </si>
  <si>
    <t>Eden athletes stopper 500 ml</t>
  </si>
  <si>
    <t>MeyEden_688084</t>
  </si>
  <si>
    <t>בקבוק מים אישי</t>
  </si>
  <si>
    <t>Mey-Eden_Eden athletes stopper 500 ml_7290000688084</t>
  </si>
  <si>
    <t>****Mey Eden_7290000688084</t>
  </si>
  <si>
    <t>Mey-Eden_Eden, 1.5 liter</t>
  </si>
  <si>
    <t>מי עדן, 1.5 ליטר</t>
  </si>
  <si>
    <t>Eden, 1.5 liter</t>
  </si>
  <si>
    <t>MeyEden_688114</t>
  </si>
  <si>
    <t>Mey-Eden_Eden, 1.5 liter_7290000688114</t>
  </si>
  <si>
    <t>****Mey Eden_7290000688114</t>
  </si>
  <si>
    <t>Mey-Eden_Mei Eden mineral water sports cap 1 L</t>
  </si>
  <si>
    <t>מים מינרליים מי עדן פקק ספורט 1 ל'</t>
  </si>
  <si>
    <t>Mei Eden mineral water sports cap 1 L</t>
  </si>
  <si>
    <t>MeyEden_7290017888972</t>
  </si>
  <si>
    <t>Mey-Eden_Mei Eden mineral water sports cap 1 L_7290017888972</t>
  </si>
  <si>
    <t>****Mey Eden_7290017888972</t>
  </si>
  <si>
    <t>MeyEden</t>
  </si>
  <si>
    <t>Mike-and-Ike_End Ike Mike Green fruit 141 g</t>
  </si>
  <si>
    <t>מייק אנד אייק</t>
  </si>
  <si>
    <t>Mike and Ike</t>
  </si>
  <si>
    <t>מייק אנד אייק פירות ירוק 141 גרם</t>
  </si>
  <si>
    <t>End Ike Mike Green fruit 141 g</t>
  </si>
  <si>
    <t>Mike&amp;ike_70970471254</t>
  </si>
  <si>
    <t>סוכריות גלי</t>
  </si>
  <si>
    <t>סוכריית גלי</t>
  </si>
  <si>
    <t>Mike-End-Ike_End Ike Mike Green fruit 141 g_70970471254</t>
  </si>
  <si>
    <t>****Mike End Ike_70970471254</t>
  </si>
  <si>
    <t>Mike&amp;ike</t>
  </si>
  <si>
    <t>Mike-and-Ike_Mike End Ike Mega Mix 141 g</t>
  </si>
  <si>
    <t>מייק אנד אייק מגה מיקס 141 גרם</t>
  </si>
  <si>
    <t>Mike End Ike Mega Mix 141 g</t>
  </si>
  <si>
    <t>Mike&amp;ike_70970473562</t>
  </si>
  <si>
    <t>Mike-End-Ike_Mike End Ike Mega Mix 141 g_70970473562</t>
  </si>
  <si>
    <t>****Mike End Ike_70970473562</t>
  </si>
  <si>
    <t>Milka_Milka biscuits 150g</t>
  </si>
  <si>
    <t>מילקה</t>
  </si>
  <si>
    <t>Milka</t>
  </si>
  <si>
    <t>מילקה ביסקויט 150 גרם</t>
  </si>
  <si>
    <t>Milka biscuits 150g</t>
  </si>
  <si>
    <t>Milka_7622201809188</t>
  </si>
  <si>
    <t>Mielke_Milka biscuits 150g_7622201809188</t>
  </si>
  <si>
    <t>****Mielke_7622201809188</t>
  </si>
  <si>
    <t>Milka_Milka chocolate-covered potato chips cookies 168 g</t>
  </si>
  <si>
    <t>מילקה עוגיות שוקלד צ'יפס 168 גר'</t>
  </si>
  <si>
    <t>Milka chocolate-covered potato chips cookies 168 g</t>
  </si>
  <si>
    <t>Milka_7622300356767</t>
  </si>
  <si>
    <t>Mielke_Milka chocolate-covered potato chips cookies 168 g_7622300356767</t>
  </si>
  <si>
    <t>****Mielke_7622300356767</t>
  </si>
  <si>
    <t>Milka_Milka Choukoud milk with hazelnuts 100g</t>
  </si>
  <si>
    <t>מילקה שוקוד חלב עם אגוזי לוז 100 גרם</t>
  </si>
  <si>
    <t>Milka Choukoud milk with hazelnuts 100g</t>
  </si>
  <si>
    <t>Milka_4025700001023</t>
  </si>
  <si>
    <t>Mielke_Milka Choukoud milk with hazelnuts 100g_4025700001023</t>
  </si>
  <si>
    <t>****Mielke_4025700001023</t>
  </si>
  <si>
    <t>Milka_Milka kinds of cookies 110 g</t>
  </si>
  <si>
    <t>מילקה מיני קוקיז 110 גרם</t>
  </si>
  <si>
    <t>Milka kinds of cookies 110 g</t>
  </si>
  <si>
    <t>Milka_7622201137052</t>
  </si>
  <si>
    <t>Mielke_Milka kinds of cookies 110 g_7622201137052</t>
  </si>
  <si>
    <t>****Mielke_7622201137052</t>
  </si>
  <si>
    <t>Milka_Milka Oreo Chocolate Sandwich 92 grams</t>
  </si>
  <si>
    <t>שוקולד מילקה אוראו סנדביץ 92 גרם</t>
  </si>
  <si>
    <t>Milka Oreo Chocolate Sandwich 92 grams</t>
  </si>
  <si>
    <t>Milka_7622210826053</t>
  </si>
  <si>
    <t>שוקולד חלב פרימיום</t>
  </si>
  <si>
    <t>Oreo_Milka Oreo Chocolate Sandwich 92 grams_7622210826053</t>
  </si>
  <si>
    <t>****Oreo_7622210826053</t>
  </si>
  <si>
    <t>Milka_Milka Oreo milk chocolate 100g</t>
  </si>
  <si>
    <t>שוקולד חלב אוראו מילקה 100 גרם</t>
  </si>
  <si>
    <t>Milka Oreo milk chocolate 100g</t>
  </si>
  <si>
    <t>Milka_7622300617820</t>
  </si>
  <si>
    <t>Oreo_Milka Oreo milk chocolate 100g_7622300617820</t>
  </si>
  <si>
    <t>****Oreo_7622300617820</t>
  </si>
  <si>
    <t>Milka_Oreo cookies Milka 156 grams Sensation</t>
  </si>
  <si>
    <t>עוגיות מילקה סנסיישן אוראו 156 גרם</t>
  </si>
  <si>
    <t>Oreo cookies Milka 156 grams Sensation</t>
  </si>
  <si>
    <t>Milka_7622201401900</t>
  </si>
  <si>
    <t>עוגיות סנדביץ פרימיום</t>
  </si>
  <si>
    <t>Oreo_Oreo cookies Milka 156 grams Sensation_7622201401900</t>
  </si>
  <si>
    <t>****Oreo_7622201401900</t>
  </si>
  <si>
    <t>Milki_Chocolate pudding with whipped cream - 7% fat</t>
  </si>
  <si>
    <t>מילקי</t>
  </si>
  <si>
    <t>Milki</t>
  </si>
  <si>
    <t>מעדן חלב בטעם שוקולד עם קצפת - 7% שומן</t>
  </si>
  <si>
    <t>Chocolate pudding with whipped cream - 7% fat</t>
  </si>
  <si>
    <t>Milkey_72940761</t>
  </si>
  <si>
    <t>מעדני חלב + קצפת</t>
  </si>
  <si>
    <t>Milki_Chocolate pudding with whipped cream - 7% fat_72940761</t>
  </si>
  <si>
    <t>****Milki_72940761</t>
  </si>
  <si>
    <t>Milkey</t>
  </si>
  <si>
    <t>Milki_Milky Cake - Cake Custom</t>
  </si>
  <si>
    <t>מילקי Cake - עוגה אישית</t>
  </si>
  <si>
    <t>Milky Cake - Cake Custom</t>
  </si>
  <si>
    <t>MilkeyCake_7290106663121</t>
  </si>
  <si>
    <t>חטיפים מצוננים</t>
  </si>
  <si>
    <t>חטיף מצונן</t>
  </si>
  <si>
    <t>Milki_Milky Cake - Cake Custom_7290106663121</t>
  </si>
  <si>
    <t>****Milki_7290106663121</t>
  </si>
  <si>
    <t>MilkeyCake</t>
  </si>
  <si>
    <t>Milki_Milky top sash 140 g</t>
  </si>
  <si>
    <t>מילקי טופ מגולגלת 140 גרם</t>
  </si>
  <si>
    <t>Milky top sash 140 g</t>
  </si>
  <si>
    <t>Milkey_5839313</t>
  </si>
  <si>
    <t>Milki_Milky top sash 140 g_5839313</t>
  </si>
  <si>
    <t>****Milki_5839313</t>
  </si>
  <si>
    <t>Milki_Pudding flavored with lentils extension</t>
  </si>
  <si>
    <t>מעדן חלב בטעם שוקולד עם תוסף עדשים</t>
  </si>
  <si>
    <t>Pudding flavored with lentils extension</t>
  </si>
  <si>
    <t>Milkey_7290104066016</t>
  </si>
  <si>
    <t>Milki_Pudding flavored with lentils extension_7290104066016</t>
  </si>
  <si>
    <t>****Milki_7290104066016</t>
  </si>
  <si>
    <t>MilkLactosseFreeYotvata_Yotvata low-lactose milk enriched bottle 1 liter 2%</t>
  </si>
  <si>
    <t>MilkLactosseFreeYotvata</t>
  </si>
  <si>
    <t>חלב יטבתה דל לקטוז מועשר בקבוק 1 ליטר 2%</t>
  </si>
  <si>
    <t>Yotvata low-lactose milk enriched bottle 1 liter 2%</t>
  </si>
  <si>
    <t>MilkLactosseFreeYotvata_7290107933315</t>
  </si>
  <si>
    <t>Yotvata_Yotvata low-lactose milk enriched bottle 1 liter 2%_7290107933315</t>
  </si>
  <si>
    <t>****Yotvata_7290107933315</t>
  </si>
  <si>
    <t>MilkLowFatTnuva_Tnuva fresh milk 1% fat</t>
  </si>
  <si>
    <t>MilkLowFatTnuva</t>
  </si>
  <si>
    <t>תנובה חלב טרי 1% שומן</t>
  </si>
  <si>
    <t>Tnuva fresh milk 1% fat</t>
  </si>
  <si>
    <t>MilkLowFatTnuva_42435</t>
  </si>
  <si>
    <t>חלב טרי קרטון\כד עד 1 ליטר</t>
  </si>
  <si>
    <t>yield_Tnuva fresh milk 1% fat_42435</t>
  </si>
  <si>
    <t>****yield_42435</t>
  </si>
  <si>
    <t>MilkLowFatYotvata_1% milk enriched bottle 1 liter</t>
  </si>
  <si>
    <t>MilkLowFatYotvata</t>
  </si>
  <si>
    <t>חלב בקבוק 1% מעושר 1 ליטר</t>
  </si>
  <si>
    <t>1% milk enriched bottle 1 liter</t>
  </si>
  <si>
    <t>MilkLowFatYotvata_7290107932134</t>
  </si>
  <si>
    <t>Yotvata_1% milk enriched bottle 1 liter_7290107932134</t>
  </si>
  <si>
    <t>****Yotvata_7290107932134</t>
  </si>
  <si>
    <t>MilkTnuva_Fresh milk yield 3%</t>
  </si>
  <si>
    <t>MilkTnuva</t>
  </si>
  <si>
    <t>חלב תנובה טרי 3%</t>
  </si>
  <si>
    <t>Fresh milk yield 3%</t>
  </si>
  <si>
    <t>MilkTnuva_42442</t>
  </si>
  <si>
    <t>yield_Fresh milk yield 3%_42442</t>
  </si>
  <si>
    <t>****yield_42442</t>
  </si>
  <si>
    <t>MilkYotvata_3% milk enriched bottle 1 liter</t>
  </si>
  <si>
    <t>MilkYotvata</t>
  </si>
  <si>
    <t>חלב בקבוק 3% מעושר 1 ליטר</t>
  </si>
  <si>
    <t>3% milk enriched bottle 1 liter</t>
  </si>
  <si>
    <t>MilkYotvata_7290107932080</t>
  </si>
  <si>
    <t>Yotvata_3% milk enriched bottle 1 liter_7290107932080</t>
  </si>
  <si>
    <t>****Yotvata_7290107932080</t>
  </si>
  <si>
    <t>Mirinda_Miranda Mix cranberry orange, 500 ml</t>
  </si>
  <si>
    <t>מירינדה</t>
  </si>
  <si>
    <t>Mirinda</t>
  </si>
  <si>
    <t>מירנדה מיקס אוכמניות תפוז, 500 מ"ל</t>
  </si>
  <si>
    <t>Miranda Mix cranberry orange, 500 ml</t>
  </si>
  <si>
    <t>Mirinda_6764768</t>
  </si>
  <si>
    <t>Mirinda_Miranda Mix cranberry orange, 500 ml_7290006764768</t>
  </si>
  <si>
    <t>****Mirinda_7290006764768</t>
  </si>
  <si>
    <t>Mirinda_Mirinda bottle of 500 ml</t>
  </si>
  <si>
    <t>מירינדה ,בקבוק 500 מל</t>
  </si>
  <si>
    <t>Mirinda bottle of 500 ml</t>
  </si>
  <si>
    <t>Mirinda_7290010237562</t>
  </si>
  <si>
    <t>Mirinda_Mirinda bottle of 500 ml_7290010237562</t>
  </si>
  <si>
    <t>****Mirinda_7290010237562</t>
  </si>
  <si>
    <t>Mirinda_Mirinda Mix White Grapes Hotel, 500 ml</t>
  </si>
  <si>
    <t>מירינדה מיקס איט ענבים מלון, 500 מ"ל</t>
  </si>
  <si>
    <t>Mirinda Mix White Grapes Hotel, 500 ml</t>
  </si>
  <si>
    <t>Mirinda_6764782</t>
  </si>
  <si>
    <t>Mirinda_Mirinda Mix White Grapes Hotel, 500 ml_7290006764782</t>
  </si>
  <si>
    <t>****Mirinda_7290006764782</t>
  </si>
  <si>
    <t>Mirinda_Tempo Mirinda 1.5 liters</t>
  </si>
  <si>
    <t>טמפו מירינדה 1.5 ליטר</t>
  </si>
  <si>
    <t>Tempo Mirinda 1.5 liters</t>
  </si>
  <si>
    <t>Mirinda_433745</t>
  </si>
  <si>
    <t>Mirinda_Tempo Mirinda 1.5 liters_433745</t>
  </si>
  <si>
    <t>****Mirinda_433745</t>
  </si>
  <si>
    <t>Monster_Energy Drink Energy Rosie Munster</t>
  </si>
  <si>
    <t>מונסטר</t>
  </si>
  <si>
    <t>משקה אנרגיה מונסטר אנרג'י רוזי</t>
  </si>
  <si>
    <t>Energy Drink Energy Rosie Munster</t>
  </si>
  <si>
    <t>Monster_5060517886547</t>
  </si>
  <si>
    <t>Munster_Energy Drink Energy Rosie Munster_5060517886547</t>
  </si>
  <si>
    <t>****Munster_5060517886547</t>
  </si>
  <si>
    <t>Monster_Munster Energy Drink Energy</t>
  </si>
  <si>
    <t>משקה אנרגיה מונסטר אנרג'י</t>
  </si>
  <si>
    <t>Munster Energy Drink Energy</t>
  </si>
  <si>
    <t>Monster_5060517886486</t>
  </si>
  <si>
    <t>Munster_Munster Energy Drink Energy_5060517886486</t>
  </si>
  <si>
    <t>****Munster_5060517886486</t>
  </si>
  <si>
    <t>Monster_Munster Energy Drink Mango Loco</t>
  </si>
  <si>
    <t>משקה אנרגיה מונסטר מנגו לוקו</t>
  </si>
  <si>
    <t>Munster Energy Drink Mango Loco</t>
  </si>
  <si>
    <t>Monster_5060639129102</t>
  </si>
  <si>
    <t>Munster_Munster Energy Drink Mango Loco_5060639129102</t>
  </si>
  <si>
    <t>****Munster_5060639129102</t>
  </si>
  <si>
    <t>Monster_Munster Energy Drink Zero Energy</t>
  </si>
  <si>
    <t>משקה אנרגיה מונסטר אנרג'י זירו</t>
  </si>
  <si>
    <t>Munster Energy Drink Zero Energy</t>
  </si>
  <si>
    <t>Monster_5060517886516</t>
  </si>
  <si>
    <t>Munster_Munster Energy Drink Zero Energy_5060517886516</t>
  </si>
  <si>
    <t>****Munster_5060517886516</t>
  </si>
  <si>
    <t>Must_Cherry Megadim mast LS 28 grams</t>
  </si>
  <si>
    <t>מאסט</t>
  </si>
  <si>
    <t>Must</t>
  </si>
  <si>
    <t>מאסט לל"ס דובדבן מגדים 28 גרם</t>
  </si>
  <si>
    <t>Cherry Megadim mast LS 28 grams</t>
  </si>
  <si>
    <t>Must_8750264</t>
  </si>
  <si>
    <t>Mast_Cherry Megadim mast LS 28 grams_7290008750264</t>
  </si>
  <si>
    <t>****Mast_7290008750264</t>
  </si>
  <si>
    <t>Must_Chewing gum mast melons and watermelons 28 grams</t>
  </si>
  <si>
    <t>מסטיק מאסט מלון ואבטיח 28 גרם</t>
  </si>
  <si>
    <t>Chewing gum mast melons and watermelons 28 grams</t>
  </si>
  <si>
    <t>Must_7290104068539</t>
  </si>
  <si>
    <t>Mast_Chewing gum mast melons and watermelons 28 grams_7290104068539</t>
  </si>
  <si>
    <t>****Mast_7290104068539</t>
  </si>
  <si>
    <t>Must_Classic mint chewing gum mast</t>
  </si>
  <si>
    <t>מסטיק מאסט מנטה קלאסי</t>
  </si>
  <si>
    <t>Classic mint chewing gum mast</t>
  </si>
  <si>
    <t>Must_8754422</t>
  </si>
  <si>
    <t>Mast_Classic mint chewing gum mast_7290008754422</t>
  </si>
  <si>
    <t>****Mast_7290008754422</t>
  </si>
  <si>
    <t>Must_Mast candy mint sugar free 80g</t>
  </si>
  <si>
    <t>מאסט עלית</t>
  </si>
  <si>
    <t>Must Elite</t>
  </si>
  <si>
    <t>סוכריות מאסט מנטה ללא סוכר 80 גרם</t>
  </si>
  <si>
    <t>Mast candy mint sugar free 80g</t>
  </si>
  <si>
    <t>Must_77245110610</t>
  </si>
  <si>
    <t>סוכריות קשות לל"ס שקית</t>
  </si>
  <si>
    <t>Mast_Mast candy mint sugar free 80g_77245110610</t>
  </si>
  <si>
    <t>****Mast_77245110610</t>
  </si>
  <si>
    <t>Must_Mast light mint gum</t>
  </si>
  <si>
    <t>מסטיק מאסט מנטה עדין</t>
  </si>
  <si>
    <t>Mast light mint gum</t>
  </si>
  <si>
    <t>Must_8754415</t>
  </si>
  <si>
    <t>Mast_Mast light mint gum_7290008754415</t>
  </si>
  <si>
    <t>****Mast_7290008754415</t>
  </si>
  <si>
    <t>Must-Elite_Elite Candy Raspberry Lemon 80 g</t>
  </si>
  <si>
    <t>עלית סוכריות פטל לימון 80 גר</t>
  </si>
  <si>
    <t>Elite Candy Raspberry Lemon 80 g</t>
  </si>
  <si>
    <t>Must_7290112337474</t>
  </si>
  <si>
    <t>elite_Elite Candy Raspberry Lemon 80 g_7290112337474</t>
  </si>
  <si>
    <t>****elite_7290112337474</t>
  </si>
  <si>
    <t>Must-Elite_Elite Les butterscotch candy 80 g</t>
  </si>
  <si>
    <t>עלית סוכריות ללס ריבת חלב 80 גר'</t>
  </si>
  <si>
    <t>Elite Les butterscotch candy 80 g</t>
  </si>
  <si>
    <t>Must_7290112336651</t>
  </si>
  <si>
    <t>elite_Elite Les butterscotch candy 80 g_7290112336651</t>
  </si>
  <si>
    <t>****elite_7290112336651</t>
  </si>
  <si>
    <t>Must-Elite_Les candy cappuccino Elite 80 g</t>
  </si>
  <si>
    <t>עלית סוכריות ללס קפוצ'ינו 80 גר'</t>
  </si>
  <si>
    <t>Les candy cappuccino Elite 80 g</t>
  </si>
  <si>
    <t>Must_7290112337481</t>
  </si>
  <si>
    <t>elite_Les candy cappuccino Elite 80 g_7290112337481</t>
  </si>
  <si>
    <t>****elite_7290112337481</t>
  </si>
  <si>
    <t>Must-Elite_Les candy Strawberry Blueberry 80 g</t>
  </si>
  <si>
    <t>סוכריות ללס תות אוכמניות 80 גר</t>
  </si>
  <si>
    <t>Les candy Strawberry Blueberry 80 g</t>
  </si>
  <si>
    <t>Must_7290112336637</t>
  </si>
  <si>
    <t>elite_Les candy Strawberry Blueberry 80 g_7290112336637</t>
  </si>
  <si>
    <t>****elite_7290112336637</t>
  </si>
  <si>
    <t>Must-Elite_Les lemon candies Elite 80 grams</t>
  </si>
  <si>
    <t>עלית סוכריות ללס לימון 80 גרם</t>
  </si>
  <si>
    <t>Les lemon candies Elite 80 grams</t>
  </si>
  <si>
    <t>Must_7290112336644</t>
  </si>
  <si>
    <t>elite_Les lemon candies Elite 80 grams_7290112336644</t>
  </si>
  <si>
    <t>****elite_7290112336644</t>
  </si>
  <si>
    <t>Names-Bacos_Extra -mrk melted glass with lots of chicken noodle</t>
  </si>
  <si>
    <t>נמס בכוס</t>
  </si>
  <si>
    <t>Names Bacos</t>
  </si>
  <si>
    <t>נמס בכוס אקסטרה -מרק עוף עם המון אטריות</t>
  </si>
  <si>
    <t>Extra -mrk melted glass with lots of chicken noodle</t>
  </si>
  <si>
    <t>Names-bacos-Xtra_7290100247808</t>
  </si>
  <si>
    <t>מרקים</t>
  </si>
  <si>
    <t>מרק נמס אישי</t>
  </si>
  <si>
    <t>Melted-glass_Extra -mrk melted glass with lots of chicken noodle_7290100247808</t>
  </si>
  <si>
    <t>****Melted glass_7290100247808</t>
  </si>
  <si>
    <t>Names-bacos-Xtra</t>
  </si>
  <si>
    <t>Names-Bacos_Extra glass melting soup Tomato 39 grams</t>
  </si>
  <si>
    <t>מרק נמס בכוס אקסטרה עגבניות 39 גרם</t>
  </si>
  <si>
    <t>Extra glass melting soup Tomato 39 grams</t>
  </si>
  <si>
    <t>Names-bacos-Xtra_7290100247815</t>
  </si>
  <si>
    <t>Melted-glass_Extra glass melting soup Tomato 39 grams_7290100247815</t>
  </si>
  <si>
    <t>****Melted glass_7290100247815</t>
  </si>
  <si>
    <t>Names-Bacos_Extra Peru melted glass lentils</t>
  </si>
  <si>
    <t>נמס בכוס אקסטרה פרו עדשים</t>
  </si>
  <si>
    <t>Extra Peru melted glass lentils</t>
  </si>
  <si>
    <t>Names-bacos-XP_7290112497284</t>
  </si>
  <si>
    <t>Melted-glass_Extra Peru melted glass lentils_7290112497284</t>
  </si>
  <si>
    <t>****Melted glass_7290112497284</t>
  </si>
  <si>
    <t>Names-bacos-XP</t>
  </si>
  <si>
    <t>Names-Bacos_Extra Peru melted glass Peas</t>
  </si>
  <si>
    <t>נמס בכוס אקסטרה פרו אפונה</t>
  </si>
  <si>
    <t>Extra Peru melted glass Peas</t>
  </si>
  <si>
    <t>Names-bacos-XP_7290112497291</t>
  </si>
  <si>
    <t>Melted-glass_Extra Peru melted glass Peas_7290112497291</t>
  </si>
  <si>
    <t>****Melted glass_7290112497291</t>
  </si>
  <si>
    <t>Names-Bacos_Glass melting vegetable soup with lots of noodles</t>
  </si>
  <si>
    <t>נמס בכוס מרק ירקות עם המון אטריות</t>
  </si>
  <si>
    <t>Glass melting vegetable soup with lots of noodles</t>
  </si>
  <si>
    <t>Names-bacos-Xtra_7290100247839</t>
  </si>
  <si>
    <t>Melted-glass_Glass melting vegetable soup with lots of noodles_7290100247839</t>
  </si>
  <si>
    <t>****Melted glass_7290100247839</t>
  </si>
  <si>
    <t>Names-Bacos_Mark melted glass extra 32 grams of mushrooms</t>
  </si>
  <si>
    <t>מרק נמס בכוס אקסטרה פטריות 32 גרם</t>
  </si>
  <si>
    <t>Mark melted glass extra 32 grams of mushrooms</t>
  </si>
  <si>
    <t>Names-bacos-Xtra_7290100247822</t>
  </si>
  <si>
    <t>Melted-glass_Mark melted glass extra 32 grams of mushrooms_7290100247822</t>
  </si>
  <si>
    <t>****Melted glass_7290100247822</t>
  </si>
  <si>
    <t>Napoleon_Napoleon cup olive 225 g</t>
  </si>
  <si>
    <t>נפוליאון</t>
  </si>
  <si>
    <t>Napoleon</t>
  </si>
  <si>
    <t>נפוליאון זית גביע 225 גרם</t>
  </si>
  <si>
    <t>Napoleon cup olive 225 g</t>
  </si>
  <si>
    <t>Napoleon_4129118</t>
  </si>
  <si>
    <t>גבינות שמנת</t>
  </si>
  <si>
    <t>גבינת שמנת בטעמים</t>
  </si>
  <si>
    <t>Napoleon_Napoleon cup olive 225 g_4129118</t>
  </si>
  <si>
    <t>****Napoleon_4129118</t>
  </si>
  <si>
    <t>Napoleon_Napoleon garlic dill 225g Cup</t>
  </si>
  <si>
    <t>נפוליאון שום שמיר גביע 225 גרם</t>
  </si>
  <si>
    <t>Napoleon garlic dill 225g Cup</t>
  </si>
  <si>
    <t>Napoleon_4129156</t>
  </si>
  <si>
    <t>Napoleon_Napoleon garlic dill 225g Cup_4129156</t>
  </si>
  <si>
    <t>****Napoleon_4129156</t>
  </si>
  <si>
    <t>Napoleon_Natural Napoleon cup 225g</t>
  </si>
  <si>
    <t>נפוליאון טבעי גביע 225 גרם</t>
  </si>
  <si>
    <t>Natural Napoleon cup 225g</t>
  </si>
  <si>
    <t>Napoleon_4129101</t>
  </si>
  <si>
    <t>גבינת שמנת טבעי</t>
  </si>
  <si>
    <t>Napoleon_Natural Napoleon cup 225g_4129101</t>
  </si>
  <si>
    <t>****Napoleon_4129101</t>
  </si>
  <si>
    <t>Nesher_Eagle malt beer, 330 ml</t>
  </si>
  <si>
    <t>נשר</t>
  </si>
  <si>
    <t>Nesher</t>
  </si>
  <si>
    <t>בירה נשר מאלט, 330 מ"ל</t>
  </si>
  <si>
    <t>Eagle malt beer, 330 ml</t>
  </si>
  <si>
    <t>Nesher_6764478</t>
  </si>
  <si>
    <t>בירה מאלט</t>
  </si>
  <si>
    <t>בירה מאלט אישי</t>
  </si>
  <si>
    <t>Nesher_Eagle malt beer, 330 ml_7290006764478</t>
  </si>
  <si>
    <t>****Nesher_7290006764478</t>
  </si>
  <si>
    <t>Nesher_Malt beer without alcohol dropped 1.5 liters</t>
  </si>
  <si>
    <t>בירה נשר מאלט ללא אלכוהול 1.5 ליטר</t>
  </si>
  <si>
    <t>Malt beer without alcohol dropped 1.5 liters</t>
  </si>
  <si>
    <t>Nesher_7290010237623</t>
  </si>
  <si>
    <t>בירה מאלט משפחתי 1ל ומעלה</t>
  </si>
  <si>
    <t>Nesher_Malt beer without alcohol dropped 1.5 liters_7290010237623</t>
  </si>
  <si>
    <t>****Nesher_7290010237623</t>
  </si>
  <si>
    <t>Neshikolada_Bag mini Nsikoldh broken hazelnuts 220 g</t>
  </si>
  <si>
    <t>נשיקולדה</t>
  </si>
  <si>
    <t>Neshikolada</t>
  </si>
  <si>
    <t>שקית מיני נשיקולדה שברי אגוזי לוז 220 גר</t>
  </si>
  <si>
    <t>Bag mini Nsikoldh broken hazelnuts 220 g</t>
  </si>
  <si>
    <t>Neshikolada-mini_7290112358011</t>
  </si>
  <si>
    <t>אריזה משפחתית</t>
  </si>
  <si>
    <t>Nsikoldh_Bag mini Nsikoldh broken hazelnuts 220 g_7290112358011</t>
  </si>
  <si>
    <t>****Nsikoldh_7290112358011</t>
  </si>
  <si>
    <t>Neshikolada-mini</t>
  </si>
  <si>
    <t>Nestea_Nestea - peach flavored iced tea 1.5 liter</t>
  </si>
  <si>
    <t>נסטי</t>
  </si>
  <si>
    <t>Nestea</t>
  </si>
  <si>
    <t>נסטי - תה קר בטעם אפרסק 1.5 ליטר</t>
  </si>
  <si>
    <t>Nestea - peach flavored iced tea 1.5 liter</t>
  </si>
  <si>
    <t>Nestea_8005200496525</t>
  </si>
  <si>
    <t>Nestea_Nestea - peach flavored iced tea 1.5 liter_8005200496525</t>
  </si>
  <si>
    <t>****Nestea_8005200496525</t>
  </si>
  <si>
    <t>Nestea_Nestea iced tea peach flavored 500 ml</t>
  </si>
  <si>
    <t>נסטי, תה קר בטעם אפרסק 500 מל</t>
  </si>
  <si>
    <t>Nestea iced tea peach flavored 500 ml</t>
  </si>
  <si>
    <t>Nestea_8005200486526</t>
  </si>
  <si>
    <t>Nestea_Nestea iced tea peach flavored 500 ml_8005200486526</t>
  </si>
  <si>
    <t>****Nestea_8005200486526</t>
  </si>
  <si>
    <t>Neviot_Mineral springs, 1 liter</t>
  </si>
  <si>
    <t>נביעות</t>
  </si>
  <si>
    <t>Neviot</t>
  </si>
  <si>
    <t>מינרלים נביעות, 1 ליטר</t>
  </si>
  <si>
    <t>Mineral springs, 1 liter</t>
  </si>
  <si>
    <t>Neviot_2331490</t>
  </si>
  <si>
    <t>Springs_Mineral springs, 1 liter_7290002331490</t>
  </si>
  <si>
    <t>****Springs_7290002331490</t>
  </si>
  <si>
    <t>Neviot_Mineral water springs 1.5 liters</t>
  </si>
  <si>
    <t>מים מינרליים נביעות 1.5 ליטר</t>
  </si>
  <si>
    <t>Mineral water springs 1.5 liters</t>
  </si>
  <si>
    <t>Neviot_2331162</t>
  </si>
  <si>
    <t>Springs_Mineral water springs 1.5 liters_7290002331162</t>
  </si>
  <si>
    <t>****Springs_7290002331162</t>
  </si>
  <si>
    <t>Neviot_Regular stopper springs 500 ml</t>
  </si>
  <si>
    <t>נביעות פקק רגיל 500 מ"ל</t>
  </si>
  <si>
    <t>Regular stopper springs 500 ml</t>
  </si>
  <si>
    <t>Neviot_2331018</t>
  </si>
  <si>
    <t>Springs_Regular stopper springs 500 ml_7290002331018</t>
  </si>
  <si>
    <t>****Springs_7290002331018</t>
  </si>
  <si>
    <t>Neviot_Water sports springs stopper 500 ml</t>
  </si>
  <si>
    <t>מים נביעות ספורט פקק 500 מ"ל</t>
  </si>
  <si>
    <t>Water sports springs stopper 500 ml</t>
  </si>
  <si>
    <t>Neviot_2331025</t>
  </si>
  <si>
    <t>Springs_Water sports springs stopper 500 ml_7290002331025</t>
  </si>
  <si>
    <t>****Springs_7290002331025</t>
  </si>
  <si>
    <t>Neviot-Plus_Apple Flavor springs + 500 ml bottle</t>
  </si>
  <si>
    <t>נביעות+</t>
  </si>
  <si>
    <t>Neviot Plus</t>
  </si>
  <si>
    <t>Neviot-Plus</t>
  </si>
  <si>
    <t>נביעות +בטעם תפוח בקבוק 500 מ"ל</t>
  </si>
  <si>
    <t>Apple Flavor springs + 500 ml bottle</t>
  </si>
  <si>
    <t>NeviotPlus_2331124</t>
  </si>
  <si>
    <t>מים מועשרים</t>
  </si>
  <si>
    <t>מים מועשרים אישי</t>
  </si>
  <si>
    <t>Springs-+_Apple Flavor springs + 500 ml bottle_7290002331124</t>
  </si>
  <si>
    <t>****Springs +_7290002331124</t>
  </si>
  <si>
    <t>Neviot-Plus_Claims peach water, 500 ml</t>
  </si>
  <si>
    <t>ביעות מים אפרסק, 500 מ"ל</t>
  </si>
  <si>
    <t>Claims peach water, 500 ml</t>
  </si>
  <si>
    <t>NeviotPlus_2331155</t>
  </si>
  <si>
    <t>Springs-+_Claims peach water, 500 ml_7290002331155</t>
  </si>
  <si>
    <t>****Springs +_7290002331155</t>
  </si>
  <si>
    <t>Neviot-Plus_Springs + 1.5 liters of apple flavor</t>
  </si>
  <si>
    <t>נביעות+טעם תפוח 1.5 ליטר</t>
  </si>
  <si>
    <t>Springs + 1.5 liters of apple flavor</t>
  </si>
  <si>
    <t>SpringWater_2331148</t>
  </si>
  <si>
    <t>מים מועשרים משפחתי 1ל ומעלה</t>
  </si>
  <si>
    <t>Springs-+_Springs + 1.5 liters of apple flavor_7290002331148</t>
  </si>
  <si>
    <t>****Springs +_7290002331148</t>
  </si>
  <si>
    <t>Neviot-Plus_Springs + 1.5 liters of grape flavor</t>
  </si>
  <si>
    <t>נביעות+טעם ענבים 1.5 ליטר</t>
  </si>
  <si>
    <t>Springs + 1.5 liters of grape flavor</t>
  </si>
  <si>
    <t>SpringWater_2331117</t>
  </si>
  <si>
    <t>Springs-+_Springs + 1.5 liters of grape flavor_7290002331117</t>
  </si>
  <si>
    <t>****Springs +_7290002331117</t>
  </si>
  <si>
    <t>Neviot-Plus_Springs + 1.5 liters of peach flavor</t>
  </si>
  <si>
    <t>נביעות+טעם אפרסק 1.5 ליטר</t>
  </si>
  <si>
    <t>Springs + 1.5 liters of peach flavor</t>
  </si>
  <si>
    <t>SpringWater_2331179</t>
  </si>
  <si>
    <t>Springs-+_Springs + 1.5 liters of peach flavor_7290002331179</t>
  </si>
  <si>
    <t>****Springs +_7290002331179</t>
  </si>
  <si>
    <t>Neviot-Plus_Springs + pineapple flavored fruit</t>
  </si>
  <si>
    <t>נביעות+ פרי בטעם אננס</t>
  </si>
  <si>
    <t>Springs + pineapple flavored fruit</t>
  </si>
  <si>
    <t>NeviotPlus_7290015493208</t>
  </si>
  <si>
    <t>Springs-+_Springs + pineapple flavored fruit_7290015493208</t>
  </si>
  <si>
    <t>****Springs +_7290015493208</t>
  </si>
  <si>
    <t>NeviotPlus</t>
  </si>
  <si>
    <t>Neviot-Plus_Springs + watermelon fruit</t>
  </si>
  <si>
    <t>נביעות+ פרי בטעם אבטיח</t>
  </si>
  <si>
    <t>Springs + watermelon fruit</t>
  </si>
  <si>
    <t>NeviotPlus_7290015493192</t>
  </si>
  <si>
    <t>Springs-+_Springs + watermelon fruit_7290015493192</t>
  </si>
  <si>
    <t>****Springs +_7290015493192</t>
  </si>
  <si>
    <t>Neviot-Plus_Springs 500 ml grape flavor</t>
  </si>
  <si>
    <t>נביעות טעם ענבים 500 מ"ל</t>
  </si>
  <si>
    <t>Springs 500 ml grape flavor</t>
  </si>
  <si>
    <t>NeviotPlus_2331711</t>
  </si>
  <si>
    <t>Springs-+_Springs 500 ml grape flavor_7290002331711</t>
  </si>
  <si>
    <t>****Springs +_7290002331711</t>
  </si>
  <si>
    <t>Nishnushim_Onion cream snacks 60g</t>
  </si>
  <si>
    <t>נשנושים</t>
  </si>
  <si>
    <t>Nishnushim</t>
  </si>
  <si>
    <t>נשנושים שמנת בצל 60 גרם</t>
  </si>
  <si>
    <t>Onion cream snacks 60g</t>
  </si>
  <si>
    <t>Nishnushim_7290112497932</t>
  </si>
  <si>
    <t>חטיפים אפויים</t>
  </si>
  <si>
    <t>קרקר חטיפים</t>
  </si>
  <si>
    <t>Snacks_Onion cream snacks 60g_7290112497932</t>
  </si>
  <si>
    <t>Nishnushim_Snacks snack baked onion cream</t>
  </si>
  <si>
    <t>נשנושים חטיף אפוי בטעם שמנת בצל</t>
  </si>
  <si>
    <t>Snacks snack baked onion cream</t>
  </si>
  <si>
    <t>Nishnushim_7290011308858</t>
  </si>
  <si>
    <t>Snacks_Snacks snack baked onion cream_7290011308858</t>
  </si>
  <si>
    <t>Nishnushim-Elite_Timeout snacks 55 grams</t>
  </si>
  <si>
    <t>פסק זמן נשנושים 55 גרם</t>
  </si>
  <si>
    <t>Timeout snacks 55 grams</t>
  </si>
  <si>
    <t>Nishnushim-elite_7290112349262</t>
  </si>
  <si>
    <t>Timeout_Timeout snacks 55 grams_7290112349262</t>
  </si>
  <si>
    <t>****Timeout_7290112349262</t>
  </si>
  <si>
    <t>Nishnushim-Elite_Tortilla snacks 55 grams</t>
  </si>
  <si>
    <t>טורטית נשנושים 55 גרם</t>
  </si>
  <si>
    <t>Tortilla snacks 55 grams</t>
  </si>
  <si>
    <t>Nishnushim-elite_7290112349255</t>
  </si>
  <si>
    <t>Tortilla_Tortilla snacks 55 grams_7290112349255</t>
  </si>
  <si>
    <t>****Tortilla_7290112349255</t>
  </si>
  <si>
    <t>nostalgia_Rubber nostalgic candies wine 80 grams</t>
  </si>
  <si>
    <t>נוסטלגיה</t>
  </si>
  <si>
    <t>nostalgia</t>
  </si>
  <si>
    <t>סוכריות נוסטלגיה גומי יין 80 גרם</t>
  </si>
  <si>
    <t>Rubber nostalgic candies wine 80 grams</t>
  </si>
  <si>
    <t>Gummy-wine_7290106662964</t>
  </si>
  <si>
    <t>סוכריות גומי</t>
  </si>
  <si>
    <t>סוכריית גומי</t>
  </si>
  <si>
    <t>nostalgia_Rubber nostalgic candies wine 80 grams_7290106662964</t>
  </si>
  <si>
    <t>****nostalgia_7290106662964</t>
  </si>
  <si>
    <t>Gummy-wine</t>
  </si>
  <si>
    <t>Number-1_Waffle Nambr Wan Market coated milk 35 grams</t>
  </si>
  <si>
    <t>נאמבר ווואן</t>
  </si>
  <si>
    <t>Number 1</t>
  </si>
  <si>
    <t>וופל נאמבר וואן מצופה שוק חלב 35 גרם</t>
  </si>
  <si>
    <t>Waffle Nambr Wan Market coated milk 35 grams</t>
  </si>
  <si>
    <t>No1_8690120060170</t>
  </si>
  <si>
    <t>Nambr-Wan_Waffle Nambr Wan Market coated milk 35 grams_8690120060170</t>
  </si>
  <si>
    <t>****Nambr Wan_8690120060170</t>
  </si>
  <si>
    <t>No1</t>
  </si>
  <si>
    <t>Nutella_Nutella me 132 grams of a trio roses</t>
  </si>
  <si>
    <t>נוטלה</t>
  </si>
  <si>
    <t>Nutella</t>
  </si>
  <si>
    <t>נוטלה בי רדי שישיה 132 גרם</t>
  </si>
  <si>
    <t>Nutella me 132 grams of a trio roses</t>
  </si>
  <si>
    <t>Nutella-Bready_8000500227848</t>
  </si>
  <si>
    <t>עוגיות ממולאות פרימיום</t>
  </si>
  <si>
    <t>Nutella_Nutella me 132 grams of a trio roses_8000500227848</t>
  </si>
  <si>
    <t>****Nutella_8000500227848</t>
  </si>
  <si>
    <t>Nutella-Bready</t>
  </si>
  <si>
    <t>Oreo_Bates coated crunchy Oreo 110 g</t>
  </si>
  <si>
    <t>אוראו</t>
  </si>
  <si>
    <t>Oreo</t>
  </si>
  <si>
    <t>Oreo-TimTam-Wanted</t>
  </si>
  <si>
    <t>אוראו קראנצ'י בייטס מצופים 110 גרם</t>
  </si>
  <si>
    <t>Bates coated crunchy Oreo 110 g</t>
  </si>
  <si>
    <t>Oreo_7622210638021</t>
  </si>
  <si>
    <t>Oreo_Bates coated crunchy Oreo 110 g_7622210638021</t>
  </si>
  <si>
    <t>****Oreo_7622210638021</t>
  </si>
  <si>
    <t>Oreo_Bates crunchy Oreo 110 g</t>
  </si>
  <si>
    <t>אוראו קראנצ'י בייטס 110 גרם</t>
  </si>
  <si>
    <t>Bates crunchy Oreo 110 g</t>
  </si>
  <si>
    <t>Oreo_7622210637994</t>
  </si>
  <si>
    <t>Oreo_Bates crunchy Oreo 110 g_7622210637994</t>
  </si>
  <si>
    <t>****Oreo_7622210637994</t>
  </si>
  <si>
    <t>Oreo_Cups mini chocolate Oreo 61.3 g</t>
  </si>
  <si>
    <t>כוסות אוראו מיני בטעם שוקולד 61.3 גרם</t>
  </si>
  <si>
    <t>Cups mini chocolate Oreo 61.3 g</t>
  </si>
  <si>
    <t>Oreo_7622300761363</t>
  </si>
  <si>
    <t>Oreo_Cups mini chocolate Oreo 61.3 g_7622300761363</t>
  </si>
  <si>
    <t>****Oreo_7622300761363</t>
  </si>
  <si>
    <t>Oreo_Milka Minis Original urea 153 g</t>
  </si>
  <si>
    <t>מילקה אוריאו מיניס אורגינל 153 גרם</t>
  </si>
  <si>
    <t>Milka Minis Original urea 153 g</t>
  </si>
  <si>
    <t>Oreo_7622201127398</t>
  </si>
  <si>
    <t>Oreo_Milka Minis Original urea 153 g_7622201127398</t>
  </si>
  <si>
    <t>****Oreo_7622201127398</t>
  </si>
  <si>
    <t>Oreo_Milka Minis white urea 153 g</t>
  </si>
  <si>
    <t>מילקה אוריאו מיניס לבן 153 גרם</t>
  </si>
  <si>
    <t>Milka Minis white urea 153 g</t>
  </si>
  <si>
    <t>Oreo_7622201127367</t>
  </si>
  <si>
    <t>Oreo_Milka Minis white urea 153 g_7622201127367</t>
  </si>
  <si>
    <t>****Oreo_7622201127367</t>
  </si>
  <si>
    <t>Oreo_Oreo Brownie 176 g</t>
  </si>
  <si>
    <t>אוראו בראוני 176 גרם</t>
  </si>
  <si>
    <t>Oreo Brownie 176 g</t>
  </si>
  <si>
    <t>Oreo_7622210835338</t>
  </si>
  <si>
    <t>Oreo_Oreo Brownie 176 g_7622210835338</t>
  </si>
  <si>
    <t>****Oreo_7622210835338</t>
  </si>
  <si>
    <t>Oreo_Oreo mini-cups vanilla 67 g</t>
  </si>
  <si>
    <t>אוראו מיני כוסות בטעם וניל 67 גרם</t>
  </si>
  <si>
    <t>Oreo mini-cups vanilla 67 g</t>
  </si>
  <si>
    <t>Oreo_7622210874351</t>
  </si>
  <si>
    <t>Oreo_Oreo mini-cups vanilla 67 g_7622210874351</t>
  </si>
  <si>
    <t>****Oreo_7622210874351</t>
  </si>
  <si>
    <t>Oreo_Oreo minutes 96 grams of chocolate</t>
  </si>
  <si>
    <t>עוגיות אוראו דקות בטעם שוקולד 96 גרם</t>
  </si>
  <si>
    <t>Oreo minutes 96 grams of chocolate</t>
  </si>
  <si>
    <t>Oreo_7622210829108</t>
  </si>
  <si>
    <t>Oreo_Oreo minutes 96 grams of chocolate_7622210829108</t>
  </si>
  <si>
    <t>****Oreo_7622210829108</t>
  </si>
  <si>
    <t>Oreo_Oreo stuffed with vanilla cream 176 g</t>
  </si>
  <si>
    <t>עוגיות אוראו ממולאות קרם וניל 176 גר'</t>
  </si>
  <si>
    <t>Oreo stuffed with vanilla cream 176 g</t>
  </si>
  <si>
    <t>Oreo_7622010001858</t>
  </si>
  <si>
    <t>Oreo_Oreo stuffed with vanilla cream 176 g_7622010001858</t>
  </si>
  <si>
    <t>****Oreo_7622010001858</t>
  </si>
  <si>
    <t>Oreo_Oreo thin vanilla 96 g</t>
  </si>
  <si>
    <t>אוראו דקים וניל 96 גרם</t>
  </si>
  <si>
    <t>Oreo thin vanilla 96 g</t>
  </si>
  <si>
    <t>Oreo_7622210829085</t>
  </si>
  <si>
    <t>Oreo_Oreo thin vanilla 96 g_7622210829085</t>
  </si>
  <si>
    <t>****Oreo_7622210829085</t>
  </si>
  <si>
    <t>Osem_300g chocolate cookie finally</t>
  </si>
  <si>
    <t>אסם</t>
  </si>
  <si>
    <t>Osem</t>
  </si>
  <si>
    <t>ערגליות שוקו 300 גרם</t>
  </si>
  <si>
    <t>300g chocolate cookie finally</t>
  </si>
  <si>
    <t>Argaliot_8775816</t>
  </si>
  <si>
    <t>barn_300g chocolate cookie finally_7290008775816</t>
  </si>
  <si>
    <t>****barn_7290008775816</t>
  </si>
  <si>
    <t>Osem_A cookie finally Strawberry 300g</t>
  </si>
  <si>
    <t>ערגליות תות 300 גרם</t>
  </si>
  <si>
    <t>A cookie finally Strawberry 300g</t>
  </si>
  <si>
    <t>Argaliot_8775823</t>
  </si>
  <si>
    <t>barn_A cookie finally Strawberry 300g_7290008775823</t>
  </si>
  <si>
    <t>****barn_7290008775823</t>
  </si>
  <si>
    <t>Osem_Krmogit stuffed with chocolate 200.00 g</t>
  </si>
  <si>
    <t>קרמוגית ממולא שוקו 200.00 גרם</t>
  </si>
  <si>
    <t>Krmogit stuffed with chocolate 200.00 g</t>
  </si>
  <si>
    <t>Kremugit_77017</t>
  </si>
  <si>
    <t>barn_Krmogit stuffed with chocolate 200.00 g_7290000077017</t>
  </si>
  <si>
    <t>****barn_7290000077017</t>
  </si>
  <si>
    <t>Osem_Og. Mini Sokotz'ifs 225 g</t>
  </si>
  <si>
    <t>עוג. מיני שוקוצ'יפס 225 גרם</t>
  </si>
  <si>
    <t>Og. Mini Sokotz'ifs 225 g</t>
  </si>
  <si>
    <t>Mini-chocolateschips_74962</t>
  </si>
  <si>
    <t>barn_Og. Mini Sokotz'ifs 225 g_7290000074962</t>
  </si>
  <si>
    <t>****barn_7290000074962</t>
  </si>
  <si>
    <t>Osem_Og. Sokotz'ifs Classic 200g</t>
  </si>
  <si>
    <t>עוג. שוקוצ'יפס קלאסי 200 גרם</t>
  </si>
  <si>
    <t>Og. Sokotz'ifs Classic 200g</t>
  </si>
  <si>
    <t>Choclatechip-Osem_75143</t>
  </si>
  <si>
    <t>barn_Og. Sokotz'ifs Classic 200g_7290000075143</t>
  </si>
  <si>
    <t>****barn_7290000075143</t>
  </si>
  <si>
    <t>Osem_Osem crackers natural components 24 * 100 g</t>
  </si>
  <si>
    <t>אסם שקדי מרק רכיבים טבעיים 24*100גרם</t>
  </si>
  <si>
    <t>Osem crackers natural components 24 * 100 g</t>
  </si>
  <si>
    <t>Shkedey-marak_63133</t>
  </si>
  <si>
    <t>תוספים למרק/סלט</t>
  </si>
  <si>
    <t>שקדי מרק</t>
  </si>
  <si>
    <t>barn_Osem crackers natural components 24 * 100 g_63133</t>
  </si>
  <si>
    <t>****barn_63133</t>
  </si>
  <si>
    <t>Shkedey-marak</t>
  </si>
  <si>
    <t>Patit_Flake chips with green peas and yellow 22 grams</t>
  </si>
  <si>
    <t>פריכיות פתית</t>
  </si>
  <si>
    <t>Patit</t>
  </si>
  <si>
    <t>Extra-Patit</t>
  </si>
  <si>
    <t>פתית ציפס עם אפונה ירוקה וצהובה 22 גרם</t>
  </si>
  <si>
    <t>Flake chips with green peas and yellow 22 grams</t>
  </si>
  <si>
    <t>patit-chips_7290112496294</t>
  </si>
  <si>
    <t>פת</t>
  </si>
  <si>
    <t>flake_Flake chips with green peas and yellow 22 grams_7290112496294</t>
  </si>
  <si>
    <t>****flake_7290112496294</t>
  </si>
  <si>
    <t>patit-chips</t>
  </si>
  <si>
    <t>Patit_Flake corn chips minutes with buckwheat and Chia</t>
  </si>
  <si>
    <t>פתית פריכיות תירס דקות עם כוסמת וצ'יה</t>
  </si>
  <si>
    <t>Flake corn chips minutes with buckwheat and Chia</t>
  </si>
  <si>
    <t>Prichiot-Patit_7290112492357</t>
  </si>
  <si>
    <t>פריכיות כוסמין\כוסמת</t>
  </si>
  <si>
    <t>flake_Flake corn chips minutes with buckwheat and Chia_7290112492357</t>
  </si>
  <si>
    <t>****flake_7290112492357</t>
  </si>
  <si>
    <t>Prichiot-Patit</t>
  </si>
  <si>
    <t>Patit_Flake corn chips minutes with full corn</t>
  </si>
  <si>
    <t>פתית פריכיות תירס דקות עם תירס מלא</t>
  </si>
  <si>
    <t>Flake corn chips minutes with full corn</t>
  </si>
  <si>
    <t>Prichiot-Patit_7290112492258</t>
  </si>
  <si>
    <t>פריכיות תירס</t>
  </si>
  <si>
    <t>flake_Flake corn chips minutes with full corn_7290112492258</t>
  </si>
  <si>
    <t>****flake_7290112492258</t>
  </si>
  <si>
    <t>Patit_Flake milk chocolate coated cakes excellent</t>
  </si>
  <si>
    <t>פתית פריכיות מצופות שוקולד חלב מעולה</t>
  </si>
  <si>
    <t>Flake milk chocolate coated cakes excellent</t>
  </si>
  <si>
    <t>Prichiot-Patit_7290112495976</t>
  </si>
  <si>
    <t>flake_Flake milk chocolate coated cakes excellent_7290112495976</t>
  </si>
  <si>
    <t>****flake_7290112495976</t>
  </si>
  <si>
    <t>Patit_Flake potato chips with tomato 22 grams</t>
  </si>
  <si>
    <t>פתית ציפס עם תפוחי אדמה עגבניות 22 גרם</t>
  </si>
  <si>
    <t>Flake potato chips with tomato 22 grams</t>
  </si>
  <si>
    <t>patit-chips_7290112496270</t>
  </si>
  <si>
    <t>flake_Flake potato chips with tomato 22 grams_7290112496270</t>
  </si>
  <si>
    <t>****flake_7290112496270</t>
  </si>
  <si>
    <t>Patit_Potato chips flavored flake natural</t>
  </si>
  <si>
    <t>פתית צ'יפס בטטה בטעם טבעי</t>
  </si>
  <si>
    <t>Potato chips flavored flake natural</t>
  </si>
  <si>
    <t>patit-chips_7290112496287</t>
  </si>
  <si>
    <t>flake_Potato chips flavored flake natural_7290112496287</t>
  </si>
  <si>
    <t>****flake_7290112496287</t>
  </si>
  <si>
    <t>Pelito_Cubes of caramelized peanuts 85g</t>
  </si>
  <si>
    <t>פליטו</t>
  </si>
  <si>
    <t>Pelito</t>
  </si>
  <si>
    <t>קוביות בוטנים בקרמל 85 גרם</t>
  </si>
  <si>
    <t>Cubes of caramelized peanuts 85g</t>
  </si>
  <si>
    <t>Pellito_5201044009706</t>
  </si>
  <si>
    <t>Emissions_Cubes of caramelized peanuts 85g_5201044009706</t>
  </si>
  <si>
    <t>Pellito</t>
  </si>
  <si>
    <t>Pepsi_1.5-liter Pepsi Max</t>
  </si>
  <si>
    <t>פפסי</t>
  </si>
  <si>
    <t>Pepsi</t>
  </si>
  <si>
    <t>פפסי מקס 1.5 ליטר</t>
  </si>
  <si>
    <t>1.5-liter Pepsi Max</t>
  </si>
  <si>
    <t>Pepsi_433974</t>
  </si>
  <si>
    <t>Pepsi_1.5-liter Pepsi Max_7290000433974</t>
  </si>
  <si>
    <t>****Pepsi_7290000433974</t>
  </si>
  <si>
    <t>Pepsi_500 ml bottle of Pepsi</t>
  </si>
  <si>
    <t>בקבוק פפסי 500 מל</t>
  </si>
  <si>
    <t>500 ml bottle of Pepsi</t>
  </si>
  <si>
    <t>Pepsi_7290010237531</t>
  </si>
  <si>
    <t>Pepsi_500 ml bottle of Pepsi_7290010237531</t>
  </si>
  <si>
    <t>****Pepsi_7290010237531</t>
  </si>
  <si>
    <t>Pepsi_Lime can of Pepsi Max, 330 ml</t>
  </si>
  <si>
    <t>פפסי מקס ליים פחית, 330 מ"ל</t>
  </si>
  <si>
    <t>Lime can of Pepsi Max, 330 ml</t>
  </si>
  <si>
    <t>Pepsi_135175</t>
  </si>
  <si>
    <t>Pepsi_Lime can of Pepsi Max, 330 ml_7290000135175</t>
  </si>
  <si>
    <t>****Pepsi_7290000135175</t>
  </si>
  <si>
    <t>Pepsi_Pepsi 1.5 liters</t>
  </si>
  <si>
    <t>פפסי קולה 1.5 ליטר</t>
  </si>
  <si>
    <t>Pepsi 1.5 liters</t>
  </si>
  <si>
    <t>Pepsi_433684</t>
  </si>
  <si>
    <t>Pepsi_Pepsi 1.5 liters_7290000433684</t>
  </si>
  <si>
    <t>****Pepsi_7290000433684</t>
  </si>
  <si>
    <t>Pepsi_Pepsi Max bottle of 500 ml</t>
  </si>
  <si>
    <t>פפסי מקס בקבוק 500 מל</t>
  </si>
  <si>
    <t>Pepsi Max bottle of 500 ml</t>
  </si>
  <si>
    <t>Pepsi_7290010237548</t>
  </si>
  <si>
    <t>Pepsi_Pepsi Max bottle of 500 ml_7290010237548</t>
  </si>
  <si>
    <t>****Pepsi_7290010237548</t>
  </si>
  <si>
    <t>Pepsi_Pepsi Max can of 330 ml</t>
  </si>
  <si>
    <t>פפסי מקס פחית, 330 מ"ל</t>
  </si>
  <si>
    <t>Pepsi Max can of 330 ml</t>
  </si>
  <si>
    <t>Pepsi_8464406</t>
  </si>
  <si>
    <t>Pepsi_Pepsi Max can of 330 ml_7290008464406</t>
  </si>
  <si>
    <t>****Pepsi_7290008464406</t>
  </si>
  <si>
    <t>Perrier_Paraiba End Goose can cherry peach</t>
  </si>
  <si>
    <t>פרייה</t>
  </si>
  <si>
    <t>Perrier</t>
  </si>
  <si>
    <t>Spring-Perrier</t>
  </si>
  <si>
    <t>פרייבה אנד גוס אפרסק דובדבן פחית</t>
  </si>
  <si>
    <t>Paraiba End Goose can cherry peach</t>
  </si>
  <si>
    <t>Perrier&amp;Juice_7613036280327</t>
  </si>
  <si>
    <t>Priya_Paraiba End Goose can cherry peach_7613036280327</t>
  </si>
  <si>
    <t>****Priya_7613036280327</t>
  </si>
  <si>
    <t>Perrier&amp;Juice</t>
  </si>
  <si>
    <t>Perrier_Perrier Sparkling Natural Mineral Water</t>
  </si>
  <si>
    <t>פרייה מים מינרלים מבעבעים טבעיים</t>
  </si>
  <si>
    <t>Perrier Sparkling Natural Mineral Water</t>
  </si>
  <si>
    <t>Perrier&amp;Juice_3179730011024</t>
  </si>
  <si>
    <t>Priya_Perrier Sparkling Natural Mineral Water_3179730011024</t>
  </si>
  <si>
    <t>****Priya_3179730011024</t>
  </si>
  <si>
    <t>Perrier_Priya End Goose mango pineapple can</t>
  </si>
  <si>
    <t>פרייה אנד גוס אננס מנגו פחית</t>
  </si>
  <si>
    <t>Priya End Goose mango pineapple can</t>
  </si>
  <si>
    <t>Perrier&amp;Juice_7613036286008</t>
  </si>
  <si>
    <t>Priya_Priya End Goose mango pineapple can_7613036286008</t>
  </si>
  <si>
    <t>****Priya_7613036286008</t>
  </si>
  <si>
    <t>Pesek-Zman_A time-series patisserie with raspberry cream</t>
  </si>
  <si>
    <t>פסק זמן</t>
  </si>
  <si>
    <t>Pesek Zman</t>
  </si>
  <si>
    <t>פסק זמן סדרת הפטיסרי עם קרם פטל</t>
  </si>
  <si>
    <t>A time-series patisserie with raspberry cream</t>
  </si>
  <si>
    <t>PesekZman_7290112348234</t>
  </si>
  <si>
    <t>Timeout_A time-series patisserie with raspberry cream_7290112348234</t>
  </si>
  <si>
    <t>****Timeout_7290112348234</t>
  </si>
  <si>
    <t>PesekZman</t>
  </si>
  <si>
    <t>Pesek-Zman_Big Snack byte timeout 52 grams</t>
  </si>
  <si>
    <t>חטיף פסק זמן ביג בייט 52 גרם</t>
  </si>
  <si>
    <t>Big Snack byte timeout 52 grams</t>
  </si>
  <si>
    <t>PesekZman_72992357</t>
  </si>
  <si>
    <t>Timeout_Big Snack byte timeout 52 grams_72992357</t>
  </si>
  <si>
    <t>****Timeout_72992357</t>
  </si>
  <si>
    <t>Pinukiot_Pinocchio with cream and nuts timeout</t>
  </si>
  <si>
    <t>פינוקיות</t>
  </si>
  <si>
    <t>Pinukiot</t>
  </si>
  <si>
    <t>פינוקיות במילוי קרם פסק זמן אגוזים</t>
  </si>
  <si>
    <t>Pinocchio with cream and nuts timeout</t>
  </si>
  <si>
    <t>Pesek-zman_7290112332691</t>
  </si>
  <si>
    <t>Timeout_Pinocchio with cream and nuts timeout_7290112332691</t>
  </si>
  <si>
    <t>****Timeout_7290112332691</t>
  </si>
  <si>
    <t>Pesek-zman</t>
  </si>
  <si>
    <t>Pesek-Zman_Snack time out milk 45 grams</t>
  </si>
  <si>
    <t>חטיף פסק זמן חלב 45 גרם</t>
  </si>
  <si>
    <t>Snack time out milk 45 grams</t>
  </si>
  <si>
    <t>PesekZman_72917893</t>
  </si>
  <si>
    <t>Timeout_Snack time out milk 45 grams_72917893</t>
  </si>
  <si>
    <t>****Timeout_72917893</t>
  </si>
  <si>
    <t>Pesek-Zman_Timeout 2good</t>
  </si>
  <si>
    <t>פסק זמן 2good</t>
  </si>
  <si>
    <t>Timeout 2good</t>
  </si>
  <si>
    <t>PesekZman_72994061</t>
  </si>
  <si>
    <t>Timeout_Timeout 2good_72994061</t>
  </si>
  <si>
    <t>****Timeout_72994061</t>
  </si>
  <si>
    <t>Pesek-Zman_Timeout CRUNCH</t>
  </si>
  <si>
    <t>פסק זמן CRUNCH</t>
  </si>
  <si>
    <t>Timeout CRUNCH</t>
  </si>
  <si>
    <t>PesekZman_7290112358004</t>
  </si>
  <si>
    <t>Timeout_Timeout CRUNCH_7290112358004</t>
  </si>
  <si>
    <t>****Timeout_7290112358004</t>
  </si>
  <si>
    <t>Pesek-Zman_Timeout pastry cream and nuts 35 grams</t>
  </si>
  <si>
    <t>פסק זמן פטיסרי קרם אגוזים 35 גרם</t>
  </si>
  <si>
    <t>Timeout pastry cream and nuts 35 grams</t>
  </si>
  <si>
    <t>PesekZman_7290112350350</t>
  </si>
  <si>
    <t>Timeout_Timeout pastry cream and nuts 35 grams_7290112350350</t>
  </si>
  <si>
    <t>****Timeout_7290112350350</t>
  </si>
  <si>
    <t>Pesek-Zman_Timeout series with creme patisserie cafe latte</t>
  </si>
  <si>
    <t>פסק זמן סדרת הפטיסרי עם קרם קפה לאטה</t>
  </si>
  <si>
    <t>Timeout series with creme patisserie cafe latte</t>
  </si>
  <si>
    <t>PesekZman_7290112348241</t>
  </si>
  <si>
    <t>Timeout_Timeout series with creme patisserie cafe latte_7290112348241</t>
  </si>
  <si>
    <t>****Timeout_7290112348241</t>
  </si>
  <si>
    <t>Petit-Beurre_Barn chocolate treats gullible Bar 16 * 220 g</t>
  </si>
  <si>
    <t>פתי בר</t>
  </si>
  <si>
    <t>Petit Beurre</t>
  </si>
  <si>
    <t>אסם פתי בר פינוקי שוקו 16*220גרם</t>
  </si>
  <si>
    <t>Barn chocolate treats gullible Bar 16 * 220 g</t>
  </si>
  <si>
    <t>pettibear_7290115200027</t>
  </si>
  <si>
    <t>פתי בר מתחת ל-1 ק"ג</t>
  </si>
  <si>
    <t>Petit-Beurre_Barn chocolate treats gullible Bar 16 * 220 g_7290115200027</t>
  </si>
  <si>
    <t>****Petit Beurre_7290115200027</t>
  </si>
  <si>
    <t>pettibear</t>
  </si>
  <si>
    <t>Petit-Beurre_Petit Beurre 500g</t>
  </si>
  <si>
    <t>פתי בר 500 גרם</t>
  </si>
  <si>
    <t>Petit Beurre 500g</t>
  </si>
  <si>
    <t>Pettibear_74184</t>
  </si>
  <si>
    <t>Petit-Beurre_Petit Beurre 500g_7290000074184</t>
  </si>
  <si>
    <t>****Petit Beurre_7290000074184</t>
  </si>
  <si>
    <t>Pez_Pez candy fruit flavor packed -sugar</t>
  </si>
  <si>
    <t>פז</t>
  </si>
  <si>
    <t>Pez</t>
  </si>
  <si>
    <t>סוכריות פז -סוכריות דחוסות בטעם פירות</t>
  </si>
  <si>
    <t>Pez candy fruit flavor packed -sugar</t>
  </si>
  <si>
    <t>Pez_9044400841000</t>
  </si>
  <si>
    <t>סוכריות אחרות</t>
  </si>
  <si>
    <t>סוכריות דחוסות</t>
  </si>
  <si>
    <t>Paz_Pez candy fruit flavor packed -sugar_9044400841000</t>
  </si>
  <si>
    <t>****Paz_9044400841000</t>
  </si>
  <si>
    <t>Piraeus_Bulgarian cheese Piraeus</t>
  </si>
  <si>
    <t>פיראוס</t>
  </si>
  <si>
    <t>Piraeus</t>
  </si>
  <si>
    <t>גבינה בולגרית פיראוס</t>
  </si>
  <si>
    <t>Bulgarian cheese Piraeus</t>
  </si>
  <si>
    <t>Piraeus_4120566</t>
  </si>
  <si>
    <t>גבינות מלוחות מדף</t>
  </si>
  <si>
    <t>בולגרית בקר מדף</t>
  </si>
  <si>
    <t>Piraeus_Bulgarian cheese Piraeus_4120566</t>
  </si>
  <si>
    <t>****Piraeus_4120566</t>
  </si>
  <si>
    <t>Piraeus_Labaneh cheese, olive oil and thyme 263 g</t>
  </si>
  <si>
    <t>גבינת לאבנה שמן זית וזעתר 263 גרם</t>
  </si>
  <si>
    <t>Labaneh cheese, olive oil and thyme 263 g</t>
  </si>
  <si>
    <t>Piraeus_51710</t>
  </si>
  <si>
    <t>לאבנה עם תוספות</t>
  </si>
  <si>
    <t>yield_Labaneh cheese, olive oil and thyme 263 g_51710</t>
  </si>
  <si>
    <t>****yield_51710</t>
  </si>
  <si>
    <t>Piraeus_Piraeus Bulgarian 16% 250g</t>
  </si>
  <si>
    <t>פיראוס בולגרית 16% 250 גרם</t>
  </si>
  <si>
    <t>Piraeus Bulgarian 16% 250g</t>
  </si>
  <si>
    <t>Piraeus_4120573</t>
  </si>
  <si>
    <t>Piraeus_Piraeus Bulgarian 16% 250g_4120573</t>
  </si>
  <si>
    <t>****Piraeus_4120573</t>
  </si>
  <si>
    <t>Piraeus_Piraeus Bulgarian 5% fat</t>
  </si>
  <si>
    <t>פיראוס בולגרית 5% שומן</t>
  </si>
  <si>
    <t>Piraeus Bulgarian 5% fat</t>
  </si>
  <si>
    <t>Piraeus_4120634</t>
  </si>
  <si>
    <t>Piraeus_Piraeus Bulgarian 5% fat_4120634</t>
  </si>
  <si>
    <t>****Piraeus_4120634</t>
  </si>
  <si>
    <t>Piraeus_Piraeus labaneh Asli 5% fat 250g</t>
  </si>
  <si>
    <t>פיראוס לאבנה אסלית 5% שומן 250 גרם</t>
  </si>
  <si>
    <t>Piraeus labaneh Asli 5% fat 250g</t>
  </si>
  <si>
    <t>Piraeus_4137809</t>
  </si>
  <si>
    <t>Piraeus_Piraeus labaneh Asli 5% fat 250g_4137809</t>
  </si>
  <si>
    <t>****Piraeus_4137809</t>
  </si>
  <si>
    <t>Piraeus_Piraeus salty fat 5%</t>
  </si>
  <si>
    <t>פיראוס צפתית 5% שומן</t>
  </si>
  <si>
    <t>Piraeus salty fat 5%</t>
  </si>
  <si>
    <t>Piraeus_48437</t>
  </si>
  <si>
    <t>גבינה צפתית מדף</t>
  </si>
  <si>
    <t>Piraeus_Piraeus salty fat 5%_48437</t>
  </si>
  <si>
    <t>****Piraeus_48437</t>
  </si>
  <si>
    <t>Pixie_Pixie apple lemon grass 275 ml</t>
  </si>
  <si>
    <t>פיקסי</t>
  </si>
  <si>
    <t>Pixie</t>
  </si>
  <si>
    <t>פיקסי תפוח למון גראס 275 מ"ל</t>
  </si>
  <si>
    <t>Pixie apple lemon grass 275 ml</t>
  </si>
  <si>
    <t>Pixie_8464192</t>
  </si>
  <si>
    <t>Pixie_Pixie peach 275 ml</t>
  </si>
  <si>
    <t>פיקסי אפרסק 275 מ"ל</t>
  </si>
  <si>
    <t>Pixie peach 275 ml</t>
  </si>
  <si>
    <t>Pixie_8464284</t>
  </si>
  <si>
    <t>Pixie_Pixie pineapple coconut 275 ml</t>
  </si>
  <si>
    <t>פיקסי אננס קוקוס 275 מ"ל</t>
  </si>
  <si>
    <t>Pixie pineapple coconut 275 ml</t>
  </si>
  <si>
    <t>Pixie_8464291</t>
  </si>
  <si>
    <t>popcorn_Natural flavored popcorn 65 g</t>
  </si>
  <si>
    <t>פופקורן</t>
  </si>
  <si>
    <t>popcorn</t>
  </si>
  <si>
    <t>פופקורן בטעם טבעי 65 גרם</t>
  </si>
  <si>
    <t>Natural flavored popcorn 65 g</t>
  </si>
  <si>
    <t>Popcorn_7290106656260</t>
  </si>
  <si>
    <t>פופקורן מוכן לאכילה</t>
  </si>
  <si>
    <t>popcorn_Natural flavored popcorn 65 g_7290106656260</t>
  </si>
  <si>
    <t>Popcorn</t>
  </si>
  <si>
    <t>Popko_Popko butter and honey 80 g</t>
  </si>
  <si>
    <t>פופקו</t>
  </si>
  <si>
    <t>Popko</t>
  </si>
  <si>
    <t>פופקו חמאה ודבש 80 גר'</t>
  </si>
  <si>
    <t>Popko butter and honey 80 g</t>
  </si>
  <si>
    <t>Popco_66431</t>
  </si>
  <si>
    <t>Popko_Popko butter and honey 80 g_7290000066431</t>
  </si>
  <si>
    <t>****Popko_7290000066431</t>
  </si>
  <si>
    <t>Powerade_POWERADE citrus-flavored isotonic drink</t>
  </si>
  <si>
    <t>פאוור אייד</t>
  </si>
  <si>
    <t>Powerade</t>
  </si>
  <si>
    <t>POWERADE משקה איזוטוני בטעם הדרים</t>
  </si>
  <si>
    <t>POWERADE citrus-flavored isotonic drink</t>
  </si>
  <si>
    <t>Powerade_7290110111564</t>
  </si>
  <si>
    <t>POWERADE_POWERADE citrus-flavored isotonic drink_7290110111564</t>
  </si>
  <si>
    <t>****POWERADE_7290110111564</t>
  </si>
  <si>
    <t>Powerade_POWERADE fruit-flavored isotonic drink</t>
  </si>
  <si>
    <t>POWERADE משקה איזוטוני בטעם פירות</t>
  </si>
  <si>
    <t>POWERADE fruit-flavored isotonic drink</t>
  </si>
  <si>
    <t>Powerade_7290110111557</t>
  </si>
  <si>
    <t>POWERADE_POWERADE fruit-flavored isotonic drink_7290110111557</t>
  </si>
  <si>
    <t>****POWERADE_7290110111557</t>
  </si>
  <si>
    <t>pretzels_Barn flat pretzels with salt 9 * 300 g</t>
  </si>
  <si>
    <t>pretzels</t>
  </si>
  <si>
    <t>אסם בייגלה שטוחים עם מלח 9*300גרם</t>
  </si>
  <si>
    <t>Barn flat pretzels with salt 9 * 300 g</t>
  </si>
  <si>
    <t>Bagle_7290106574977</t>
  </si>
  <si>
    <t>בייגלה שטוח אריזה משפחתית 231-750גר</t>
  </si>
  <si>
    <t>pretzels_Barn flat pretzels with salt 9 * 300 g_7290106574977</t>
  </si>
  <si>
    <t>Bagle</t>
  </si>
  <si>
    <t>pretzels_Flat pretzel salt barn 60g</t>
  </si>
  <si>
    <t>בייגלה שטוחים מלח אסם 60 גרם</t>
  </si>
  <si>
    <t>Flat pretzel salt barn 60g</t>
  </si>
  <si>
    <t>bagle_71008</t>
  </si>
  <si>
    <t>בייגלה אריזה אישית 50-80גר</t>
  </si>
  <si>
    <t>pretzels_Flat pretzel salt barn 60g_7290000071008</t>
  </si>
  <si>
    <t>****pretzels_7290000071008</t>
  </si>
  <si>
    <t>pretzels_Pretzels his small barn, 400 g</t>
  </si>
  <si>
    <t>בייגלה שמיניות קטנות אסם, 400 גרם</t>
  </si>
  <si>
    <t>Pretzels his small barn, 400 g</t>
  </si>
  <si>
    <t>bagle_76133</t>
  </si>
  <si>
    <t>בייגלה אריזה משפחתית 231-750גר</t>
  </si>
  <si>
    <t>pretzels_Pretzels his small barn, 400 g_7290000076133</t>
  </si>
  <si>
    <t>****pretzels_7290000076133</t>
  </si>
  <si>
    <t>pretzels_Pretzels his small barn, 80 g</t>
  </si>
  <si>
    <t>בייגלה שמיניות קטנות אסם, 80 גרם</t>
  </si>
  <si>
    <t>Pretzels his small barn, 80 g</t>
  </si>
  <si>
    <t>bagle_76126</t>
  </si>
  <si>
    <t>pretzels_Pretzels his small barn, 80 g_7290000076126</t>
  </si>
  <si>
    <t>****pretzels_7290000076126</t>
  </si>
  <si>
    <t>pretzels_Rustic Barn pretzels teaspoons Togo 24 * 60 g</t>
  </si>
  <si>
    <t>אסם בייגלה כפיות כפרי טוגו 24*60גרם</t>
  </si>
  <si>
    <t>Rustic Barn pretzels teaspoons Togo 24 * 60 g</t>
  </si>
  <si>
    <t>Bagle_7290112966025</t>
  </si>
  <si>
    <t>pretzels_Rustic Barn pretzels teaspoons Togo 24 * 60 g_7290112966025</t>
  </si>
  <si>
    <t>Prichiot-Energy_3 crackers and cereals Nigella 135 g Energy</t>
  </si>
  <si>
    <t>פריכיות 3 דגנים וקצח אנרגי 135 גרם</t>
  </si>
  <si>
    <t>3 crackers and cereals Nigella 135 g Energy</t>
  </si>
  <si>
    <t>Prichiot-Energy_7290107933100</t>
  </si>
  <si>
    <t>פריכיות חיטה</t>
  </si>
  <si>
    <t>Rice-Cakes_3 crackers and cereals Nigella 135 g Energy_7290107933100</t>
  </si>
  <si>
    <t>****Rice Cakes_7290107933100</t>
  </si>
  <si>
    <t>Prichiot-Energy_3 crackers Energy 135 grams of cereals</t>
  </si>
  <si>
    <t>פריכיות 3 דגנים אנרגי 135 גרם</t>
  </si>
  <si>
    <t>3 crackers Energy 135 grams of cereals</t>
  </si>
  <si>
    <t>Prichiot-Energy_7290107933117</t>
  </si>
  <si>
    <t>Rice-Cakes_3 crackers Energy 135 grams of cereals_7290107933117</t>
  </si>
  <si>
    <t>****Rice Cakes_7290107933117</t>
  </si>
  <si>
    <t>Prichiot-Energy_5 cakes cereal with 70 grams of dark chocolate</t>
  </si>
  <si>
    <t>פריכיות 5 דגנים עם שוקולד מריר 70 גרם</t>
  </si>
  <si>
    <t>5 cakes cereal with 70 grams of dark chocolate</t>
  </si>
  <si>
    <t>Prichiot-Energy_7290105968777</t>
  </si>
  <si>
    <t>Rice-Cakes_5 cakes cereal with 70 grams of dark chocolate_7290105968777</t>
  </si>
  <si>
    <t>****Rice Cakes_7290105968777</t>
  </si>
  <si>
    <t>Prichiot-Energy_Energy potato cakes and cereals 135 g</t>
  </si>
  <si>
    <t>פריכיות אנרגי תפו"א ודגנים 135 גרם</t>
  </si>
  <si>
    <t>Energy potato cakes and cereals 135 g</t>
  </si>
  <si>
    <t>Prichiot-Energy_7290107953917</t>
  </si>
  <si>
    <t>Rice-Cakes_Energy potato cakes and cereals 135 g_7290107953917</t>
  </si>
  <si>
    <t>****Rice Cakes_7290107953917</t>
  </si>
  <si>
    <t>Prichiot-Energy_Underground Energy cakes chocolate 80 g</t>
  </si>
  <si>
    <t>פריכיות אנרגי תחתית שוקולד 80 גרם</t>
  </si>
  <si>
    <t>Underground Energy cakes chocolate 80 g</t>
  </si>
  <si>
    <t>Prichiot-Energy_7290106526822</t>
  </si>
  <si>
    <t>Rice-Cakes_Underground Energy cakes chocolate 80 g_7290106526822</t>
  </si>
  <si>
    <t>****Rice Cakes_7290106526822</t>
  </si>
  <si>
    <t>Prichiot-Extra_Brown rice cakes filled with 7 seeds 24 grams</t>
  </si>
  <si>
    <t>פריכיות אקסטרה</t>
  </si>
  <si>
    <t>Prichiot Extra</t>
  </si>
  <si>
    <t>פריכוני אורז חום מלא 7זרעי על 24גרם</t>
  </si>
  <si>
    <t>Brown rice cakes filled with 7 seeds 24 grams</t>
  </si>
  <si>
    <t>Prichiot-Extra_2043126</t>
  </si>
  <si>
    <t>Rice-cakes_Brown rice cakes filled with 7 seeds 24 grams_2043126</t>
  </si>
  <si>
    <t>****Rice cakes_2043126</t>
  </si>
  <si>
    <t>Prichiot-Extra</t>
  </si>
  <si>
    <t>Prichiot-Extra_Brown rice cakes filled with chocolate coating bittersweet 70 c</t>
  </si>
  <si>
    <t>פריכוני אורז חום מלא בציפוי שוקו מריר70ג</t>
  </si>
  <si>
    <t>Brown rice cakes filled with chocolate coating bittersweet 70 c</t>
  </si>
  <si>
    <t>Prichiot-Extra_2043065</t>
  </si>
  <si>
    <t>Rice-cakes_Brown rice cakes filled with chocolate coating bittersweet 70 c_2043065</t>
  </si>
  <si>
    <t>****Rice cakes_2043065</t>
  </si>
  <si>
    <t>Prichiot-Extra_Brown rice cakes filled with milk chocolate coating 30 g</t>
  </si>
  <si>
    <t>פריכוני אורז חום מלא ציפוי שוקו חלב30גרם</t>
  </si>
  <si>
    <t>Brown rice cakes filled with milk chocolate coating 30 g</t>
  </si>
  <si>
    <t>Prichiot-Extra_2043034</t>
  </si>
  <si>
    <t>Rice-cakes_Brown rice cakes filled with milk chocolate coating 30 g_2043034</t>
  </si>
  <si>
    <t>****Rice cakes_2043034</t>
  </si>
  <si>
    <t>Prichiot-Extra_Brown rice cakes filled with milk chocolate coating 70 C.</t>
  </si>
  <si>
    <t>פריכוני אורז חום מלא בציפוי שוקו חלב70ג</t>
  </si>
  <si>
    <t>Brown rice cakes filled with milk chocolate coating 70 C.</t>
  </si>
  <si>
    <t>Prichiot-Extra_2043072</t>
  </si>
  <si>
    <t>Rice-cakes_Brown rice cakes filled with milk chocolate coating 70 C._2043072</t>
  </si>
  <si>
    <t>****Rice cakes_2043072</t>
  </si>
  <si>
    <t>Prichiot-Extra_Brown rice cakes filled with white chocolate coating 30 g</t>
  </si>
  <si>
    <t>פריכוני אורז חום מלא ציפוי שוקו לבן30גרם</t>
  </si>
  <si>
    <t>Brown rice cakes filled with white chocolate coating 30 g</t>
  </si>
  <si>
    <t>Prichiot-Extra_2043058</t>
  </si>
  <si>
    <t>Rice-cakes_Brown rice cakes filled with white chocolate coating 30 g_2043058</t>
  </si>
  <si>
    <t>****Rice cakes_2043058</t>
  </si>
  <si>
    <t>Prichiot-Extra_Brown rice cakes filled with white chocolate coating 70 C.</t>
  </si>
  <si>
    <t>פריכוני אורז חום מלא בציפוי שוקו לבן70ג</t>
  </si>
  <si>
    <t>Brown rice cakes filled with white chocolate coating 70 C.</t>
  </si>
  <si>
    <t>Prichiot-Extra_2043096</t>
  </si>
  <si>
    <t>Rice-cakes_Brown rice cakes filled with white chocolate coating 70 C._2043096</t>
  </si>
  <si>
    <t>****Rice cakes_2043096</t>
  </si>
  <si>
    <t>Prichiot-Extra_Crunchy brown rice and quinoa full Studying 24 grams</t>
  </si>
  <si>
    <t>פריכוני אורז חום מלא ציה וקינואה 24גרם</t>
  </si>
  <si>
    <t>Crunchy brown rice and quinoa full Studying 24 grams</t>
  </si>
  <si>
    <t>Prichiot-Extra_2043812</t>
  </si>
  <si>
    <t>Rice-cakes_Crunchy brown rice and quinoa full Studying 24 grams_2043812</t>
  </si>
  <si>
    <t>****Rice cakes_2043812</t>
  </si>
  <si>
    <t>Prichonim-Osem_Friconim rice, 140 grams</t>
  </si>
  <si>
    <t>Prichonim Osem</t>
  </si>
  <si>
    <t>פריכונים מאורז מלא, 140 גרם</t>
  </si>
  <si>
    <t>Friconim rice, 140 grams</t>
  </si>
  <si>
    <t>Prichonim-Osem_68343</t>
  </si>
  <si>
    <t>Rice-cakes_Friconim rice, 140 grams_7290000068343</t>
  </si>
  <si>
    <t>****Rice cakes_7290000068343</t>
  </si>
  <si>
    <t>Prichonim-Osem_Friconim roasted brown rice 80 grams</t>
  </si>
  <si>
    <t>פריכונים אורז מלא קלוי 80 גרם</t>
  </si>
  <si>
    <t>Friconim roasted brown rice 80 grams</t>
  </si>
  <si>
    <t>Prichonim-Osem_60071</t>
  </si>
  <si>
    <t>Rice-cakes_Friconim roasted brown rice 80 grams_7290000060071</t>
  </si>
  <si>
    <t>****Rice cakes_7290000060071</t>
  </si>
  <si>
    <t>Prichonim-Osem_Friconim sweetened with honey 80 grams</t>
  </si>
  <si>
    <t>חטיפי פריכונים עם דבש 80 גרם</t>
  </si>
  <si>
    <t>Friconim sweetened with honey 80 grams</t>
  </si>
  <si>
    <t>Prichonim-Osem_78762</t>
  </si>
  <si>
    <t>Rice-cakes_Friconim sweetened with honey 80 grams_7290000078762</t>
  </si>
  <si>
    <t>****Rice cakes_7290000078762</t>
  </si>
  <si>
    <t>Prichiot-Extra_Full brown rice fries spicy chili 60 g</t>
  </si>
  <si>
    <t>ציפס אורז חום מלא צילי חריף60גרם</t>
  </si>
  <si>
    <t>Full brown rice fries spicy chili 60 g</t>
  </si>
  <si>
    <t>Prichiot-Extra_2043188</t>
  </si>
  <si>
    <t>Rice-Chips_Full brown rice fries spicy chili 60 g_2043188</t>
  </si>
  <si>
    <t>****Rice Chips_2043188</t>
  </si>
  <si>
    <t>Prichiot-Extra_Full brown rice fries Texas barbecue 60g</t>
  </si>
  <si>
    <t>ציפס אורז חום מלא טקסס ברביקיו 60גרם</t>
  </si>
  <si>
    <t>Full brown rice fries Texas barbecue 60g</t>
  </si>
  <si>
    <t>Prichiot-Extra_2043782</t>
  </si>
  <si>
    <t>Rice-Chips_Full brown rice fries Texas barbecue 60g_2043782</t>
  </si>
  <si>
    <t>****Rice Chips_2043782</t>
  </si>
  <si>
    <t>Prichonim-Osem_Snacks Friconim from 80 grams</t>
  </si>
  <si>
    <t>חטיפי פריכונים מלוח, 80 גרם</t>
  </si>
  <si>
    <t>Snacks Friconim from 80 grams</t>
  </si>
  <si>
    <t>Prichonim-Osem_6984647</t>
  </si>
  <si>
    <t>Rice-cakes_Snacks Friconim from 80 grams_7290006984647</t>
  </si>
  <si>
    <t>****Rice cakes_7290006984647</t>
  </si>
  <si>
    <t>Prichiot-Fitness_Small Prichiot with pepper 60 g</t>
  </si>
  <si>
    <t>פריכיות פיטנס</t>
  </si>
  <si>
    <t>Prichiot Fitness</t>
  </si>
  <si>
    <t>פיטנס חטיפי פריכיות קטניות ופלפל 60 גרם</t>
  </si>
  <si>
    <t>Small Prichiot with pepper 60 g</t>
  </si>
  <si>
    <t>Prichiot-Fitness_7290112967114</t>
  </si>
  <si>
    <t>Prichiot-Fitness_Small Prichiot with sea salt 60 g</t>
  </si>
  <si>
    <t>פיטנס חטיפי פריכיות קטניות ומלח ים 60 גרם</t>
  </si>
  <si>
    <t>Small Prichiot with sea salt 60 g</t>
  </si>
  <si>
    <t>Prichiot-Fitness_7290112967381</t>
  </si>
  <si>
    <t>Patit_Rice cakes coated with milk chocolate and chips 39</t>
  </si>
  <si>
    <t>פריכיות אורז מצופות שוקולד חלב ושבבים39</t>
  </si>
  <si>
    <t>Rice cakes coated with milk chocolate and chips 39</t>
  </si>
  <si>
    <t>Prichiot-Patit_7290112495983</t>
  </si>
  <si>
    <t>Rice-Cakes_Rice cakes coated with milk chocolate and chips 39_7290112495983</t>
  </si>
  <si>
    <t>****Rice Cakes_7290112495983</t>
  </si>
  <si>
    <t>Prichiot-Energy_Hateimot potato rice beak sea salt</t>
  </si>
  <si>
    <t>פריכיות תפוחי אדמה, אורז, בתיבול סלק ומלח ים</t>
  </si>
  <si>
    <t>Energy Hateimot beak sea salt</t>
  </si>
  <si>
    <t>Prichiot-Hateimot_7290112332585</t>
  </si>
  <si>
    <t>Prichiot-Energy_Hateimot humus rice Black lentils quinoa pepper</t>
  </si>
  <si>
    <t>פריכיות חומוס,אורז,עדשים שחורות וקינואה עם פלפל שחור</t>
  </si>
  <si>
    <t>Hateimot humus rice Black lentils quinoa pepper</t>
  </si>
  <si>
    <t>Prichiot-Hateimot_7290110560300</t>
  </si>
  <si>
    <t>Prichiot-Energy_Hateimot humus protein Black lentils quinoa</t>
  </si>
  <si>
    <t>הפריכיות הטעימות חלבון חומוס, קינואה ועדשים שחורות</t>
  </si>
  <si>
    <t>Hateimot humus protein Black lentils quinoa</t>
  </si>
  <si>
    <t>Prichiot-Hateimot_7290112335500</t>
  </si>
  <si>
    <t>Prigat_1.5 liters of apple Prigat</t>
  </si>
  <si>
    <t>פריגת</t>
  </si>
  <si>
    <t>Prigat</t>
  </si>
  <si>
    <t>Prigat-Primor</t>
  </si>
  <si>
    <t>פריגת תפוחים 1.5 ליטר</t>
  </si>
  <si>
    <t>1.5 liters of apple Prigat</t>
  </si>
  <si>
    <t>Prigat_4423353</t>
  </si>
  <si>
    <t>Prigat_1.5 liters of apple Prigat_7290004423353</t>
  </si>
  <si>
    <t>****Prigat_7290004423353</t>
  </si>
  <si>
    <t>Prigat_400 ml freshly squeezed lemonade with mint leaves</t>
  </si>
  <si>
    <t>סחוט לימונענע 400 מ"ל</t>
  </si>
  <si>
    <t>400 ml freshly squeezed lemonade with mint leaves</t>
  </si>
  <si>
    <t>Prigat_7290013153432</t>
  </si>
  <si>
    <t>מיץ טבעי סחוט מקורר</t>
  </si>
  <si>
    <t>מיץ טבעי סחוט מקורר אישי</t>
  </si>
  <si>
    <t>Prigat_400 ml freshly squeezed lemonade with mint leaves_7290013153432</t>
  </si>
  <si>
    <t>****Prigat_7290013153432</t>
  </si>
  <si>
    <t>Prigat_Extra mango Prigat</t>
  </si>
  <si>
    <t>פריגת אקסטרה מנגו</t>
  </si>
  <si>
    <t>Extra mango Prigat</t>
  </si>
  <si>
    <t>prigat_7290013585677</t>
  </si>
  <si>
    <t>מיץ 100% פרי</t>
  </si>
  <si>
    <t>מיץ 100% פרי אישי</t>
  </si>
  <si>
    <t>Prigat_Extra mango Prigat_7290013585677</t>
  </si>
  <si>
    <t>****Prigat_7290013585677</t>
  </si>
  <si>
    <t>prigat</t>
  </si>
  <si>
    <t>Prigat_Extra pineapple Prigat</t>
  </si>
  <si>
    <t>פריגת אקסטרה אננס</t>
  </si>
  <si>
    <t>Extra pineapple Prigat</t>
  </si>
  <si>
    <t>Prigat_7290013585653</t>
  </si>
  <si>
    <t>Prigat_Extra pineapple Prigat_7290013585653</t>
  </si>
  <si>
    <t>****Prigat_7290013585653</t>
  </si>
  <si>
    <t>Prigat_EXTRA tropical Prigat weight 420 ml</t>
  </si>
  <si>
    <t>משקל פריגת EXTRA טרופי 420 מ"ל</t>
  </si>
  <si>
    <t>EXTRA tropical Prigat weight 420 ml</t>
  </si>
  <si>
    <t>prigat_7290013585684</t>
  </si>
  <si>
    <t>Prigat_EXTRA tropical Prigat weight 420 ml_7290013585684</t>
  </si>
  <si>
    <t>****Prigat_7290013585684</t>
  </si>
  <si>
    <t>Prigat_Freshly squeezed orange juice, 400 ml</t>
  </si>
  <si>
    <t>מיץ תפוזים סחוט 400 מ"ל</t>
  </si>
  <si>
    <t>Freshly squeezed orange juice, 400 ml</t>
  </si>
  <si>
    <t>Prigat_377612</t>
  </si>
  <si>
    <t>Prigat_Freshly squeezed orange juice, 400 ml_7290000377612</t>
  </si>
  <si>
    <t>****Prigat_7290000377612</t>
  </si>
  <si>
    <t>Prigat_Freshly squeezed orange juice, 400 ml Prigat</t>
  </si>
  <si>
    <t>מיץ סחוט פריגת תפוז 400 מ"ל</t>
  </si>
  <si>
    <t>Freshly squeezed orange juice, 400 ml Prigat</t>
  </si>
  <si>
    <t>Prigat_7290011015374</t>
  </si>
  <si>
    <t>Prigat_Freshly squeezed orange juice, 400 ml Prigat_7290011015374</t>
  </si>
  <si>
    <t>****Prigat_7290011015374</t>
  </si>
  <si>
    <t>Prigat_Grape 1.5 liter Prigat</t>
  </si>
  <si>
    <t>פריגת ענבים 1.5 ליטר</t>
  </si>
  <si>
    <t>Grape 1.5 liter Prigat</t>
  </si>
  <si>
    <t>Prigat_2871446</t>
  </si>
  <si>
    <t>Prigat_Grape 1.5 liter Prigat_7290002871446</t>
  </si>
  <si>
    <t>****Prigat_7290002871446</t>
  </si>
  <si>
    <t>Prigat_Grape 500m Prigat "</t>
  </si>
  <si>
    <t>פריגת ענבים 500 מ"</t>
  </si>
  <si>
    <t>Grape 500m Prigat "</t>
  </si>
  <si>
    <t>Prigat_1594391</t>
  </si>
  <si>
    <t>Prigat_Grape 500m Prigat "_7290001594391</t>
  </si>
  <si>
    <t>****Prigat_7290001594391</t>
  </si>
  <si>
    <t>Prigat_Grapefruit 1.5 liter Prigat</t>
  </si>
  <si>
    <t>פריגת אשכוליות 1.5 ליטר</t>
  </si>
  <si>
    <t>Grapefruit 1.5 liter Prigat</t>
  </si>
  <si>
    <t>Prigat_2871477</t>
  </si>
  <si>
    <t>Prigat_Grapefruit 1.5 liter Prigat_7290002871477</t>
  </si>
  <si>
    <t>****Prigat_7290002871477</t>
  </si>
  <si>
    <t>Prigat_Grapefruit 500 ml Prigat</t>
  </si>
  <si>
    <t>פריגת אשכוליות 500 מ"ל</t>
  </si>
  <si>
    <t>Grapefruit 500 ml Prigat</t>
  </si>
  <si>
    <t>Prigat_1594384</t>
  </si>
  <si>
    <t>Prigat_Grapefruit 500 ml Prigat_7290001594384</t>
  </si>
  <si>
    <t>****Prigat_7290001594384</t>
  </si>
  <si>
    <t>Prigat_Mango 1.5 liter Prigat</t>
  </si>
  <si>
    <t>פריגת מנגו 1.5 ליטר</t>
  </si>
  <si>
    <t>Mango 1.5 liter Prigat</t>
  </si>
  <si>
    <t>Prigat_5604133</t>
  </si>
  <si>
    <t>Prigat_Mango 1.5 liter Prigat_7290005604133</t>
  </si>
  <si>
    <t>****Prigat_7290005604133</t>
  </si>
  <si>
    <t>Prigat_Orange 1.5-liter Prigat</t>
  </si>
  <si>
    <t>פריגת תפוזים 1.5 ליטר</t>
  </si>
  <si>
    <t>Orange 1.5-liter Prigat</t>
  </si>
  <si>
    <t>Prigat_2871460</t>
  </si>
  <si>
    <t>Prigat_Orange 1.5-liter Prigat_7290002871460</t>
  </si>
  <si>
    <t>****Prigat_7290002871460</t>
  </si>
  <si>
    <t>Prigat_Prigat clear peach</t>
  </si>
  <si>
    <t>פריגת צלול אפרסק</t>
  </si>
  <si>
    <t>Prigat clear peach</t>
  </si>
  <si>
    <t>Prigat_7290110110468</t>
  </si>
  <si>
    <t>Prigat_Prigat clear peach_7290110110468</t>
  </si>
  <si>
    <t>****Prigat_7290110110468</t>
  </si>
  <si>
    <t>Prigat_Prigat clear pineapple</t>
  </si>
  <si>
    <t>פריגת צלול אננס</t>
  </si>
  <si>
    <t>Prigat clear pineapple</t>
  </si>
  <si>
    <t>Prigat_7290110110475</t>
  </si>
  <si>
    <t>Prigat_Prigat clear pineapple_7290110110475</t>
  </si>
  <si>
    <t>****Prigat_7290110110475</t>
  </si>
  <si>
    <t>Prigat_Prigat oranges, 500 ml</t>
  </si>
  <si>
    <t>פריגת תפוזים, 500 מ"ל</t>
  </si>
  <si>
    <t>Prigat oranges, 500 ml</t>
  </si>
  <si>
    <t>Prigat_1594377</t>
  </si>
  <si>
    <t>Prigat_Prigat oranges, 500 ml_7290001594377</t>
  </si>
  <si>
    <t>****Prigat_7290001594377</t>
  </si>
  <si>
    <t>Prigat_Strawberry Banana Prigat 1.5 liters</t>
  </si>
  <si>
    <t>פריגת תות בננה 1.5 ליטר</t>
  </si>
  <si>
    <t>Strawberry Banana Prigat 1.5 liters</t>
  </si>
  <si>
    <t>Prigat_3667369</t>
  </si>
  <si>
    <t>Prigat_Strawberry Banana Prigat 1.5 liters_7290003667369</t>
  </si>
  <si>
    <t>****Prigat_7290003667369</t>
  </si>
  <si>
    <t>Prili_Strawberry</t>
  </si>
  <si>
    <t>פרילי</t>
  </si>
  <si>
    <t>Prili</t>
  </si>
  <si>
    <t>פרילי תות גביע 500 גר %1.5</t>
  </si>
  <si>
    <t>Strawberry</t>
  </si>
  <si>
    <t>Prili_44712</t>
  </si>
  <si>
    <t>Primor_Lemon juice and mint Primor, 400 ml</t>
  </si>
  <si>
    <t>פרימור</t>
  </si>
  <si>
    <t>Primor</t>
  </si>
  <si>
    <t>מיץ לימון ונענע פרימור, 400 מ"ל</t>
  </si>
  <si>
    <t>Lemon juice and mint Primor, 400 ml</t>
  </si>
  <si>
    <t>Primor_1045633</t>
  </si>
  <si>
    <t>Primor_Lemon juice and mint Primor, 400 ml_7290001045633</t>
  </si>
  <si>
    <t>****Primor_7290001045633</t>
  </si>
  <si>
    <t>Primor_Primor clear apple juice, 400 ml</t>
  </si>
  <si>
    <t>מיץ תפוחים צלול פרימור, 400 מ"ל</t>
  </si>
  <si>
    <t>Primor clear apple juice, 400 ml</t>
  </si>
  <si>
    <t>Primor_1045657</t>
  </si>
  <si>
    <t>Primor_Primor clear apple juice, 400 ml_7290001045657</t>
  </si>
  <si>
    <t>****Primor_7290001045657</t>
  </si>
  <si>
    <t>Primor_Primor squeezed orange juice, 400 ml</t>
  </si>
  <si>
    <t>מיץ תפוזים סחוט פרימור, 400 מ"ל</t>
  </si>
  <si>
    <t>Primor squeezed orange juice, 400 ml</t>
  </si>
  <si>
    <t>Primor_1045688</t>
  </si>
  <si>
    <t>Primor_Primor squeezed orange juice, 400 ml_7290001045688</t>
  </si>
  <si>
    <t>****Primor_7290001045688</t>
  </si>
  <si>
    <t>Pringles_158 grams of barbecue Pringles</t>
  </si>
  <si>
    <t>פרינגלס</t>
  </si>
  <si>
    <t>Pringles</t>
  </si>
  <si>
    <t>פרינגלס ברביקיו 158 גרם</t>
  </si>
  <si>
    <t>158 grams of barbecue Pringles</t>
  </si>
  <si>
    <t>Pringles_38000183713</t>
  </si>
  <si>
    <t>חטיפי ציפס</t>
  </si>
  <si>
    <t>Pringles_158 grams of barbecue Pringles_38000183713</t>
  </si>
  <si>
    <t>Pringles_Cream and onion Pringles 158 grams</t>
  </si>
  <si>
    <t>פרינגלס שמנת בצל 158 גרם</t>
  </si>
  <si>
    <t>Cream and onion Pringles 158 grams</t>
  </si>
  <si>
    <t>Pringles_38000138430</t>
  </si>
  <si>
    <t>Pringles_Cream and onion Pringles 158 grams_38000138430</t>
  </si>
  <si>
    <t>Pringles_Cream and onion Pringles every 71 grams</t>
  </si>
  <si>
    <t>פרינגלס מידי שמנת בצל 71 גרם</t>
  </si>
  <si>
    <t>Cream and onion Pringles every 71 grams</t>
  </si>
  <si>
    <t>Pringles_38000845253</t>
  </si>
  <si>
    <t>Pringles_Cream and onion Pringles every 71 grams_38000845253</t>
  </si>
  <si>
    <t>Pringles_Pringles barbecue every 74 grams of lactic</t>
  </si>
  <si>
    <t>פרינגלס ברביקיו מידי חלבי 74 גרם</t>
  </si>
  <si>
    <t>Pringles barbecue every 74 grams of lactic</t>
  </si>
  <si>
    <t>Pringles_38000183690</t>
  </si>
  <si>
    <t>Pringles_Pringles barbecue every 74 grams of lactic_38000183690</t>
  </si>
  <si>
    <t>Pringles_Pringles Original 149 g</t>
  </si>
  <si>
    <t>פרינגלס אורגינל 149 גרם</t>
  </si>
  <si>
    <t>Pringles Original 149 g</t>
  </si>
  <si>
    <t>Pringles_38000138416</t>
  </si>
  <si>
    <t>Pringles_Pringles Original 149 g_38000138416</t>
  </si>
  <si>
    <t>Pringles_Pringles Original 67 g</t>
  </si>
  <si>
    <t>פרינגלס אורגינל 67 גרם</t>
  </si>
  <si>
    <t>Pringles Original 67 g</t>
  </si>
  <si>
    <t>Pringles_38000845246</t>
  </si>
  <si>
    <t>Pringles_Pringles Original 67 g_38000845246</t>
  </si>
  <si>
    <t>ProDoubleZero_Peru Yotvata coffee sugar 250 ml</t>
  </si>
  <si>
    <t>ProDoubleZero</t>
  </si>
  <si>
    <t>יטבתה פרו קפה ללא סוכר 250 מל</t>
  </si>
  <si>
    <t>Peru Yotvata coffee sugar 250 ml</t>
  </si>
  <si>
    <t>ProDoubleZero_7290110565497</t>
  </si>
  <si>
    <t>Yotvata_Peru Yotvata coffee sugar 250 ml_7290110565497</t>
  </si>
  <si>
    <t>****Yotvata_7290110565497</t>
  </si>
  <si>
    <t>ProDrink_Breakfast pro Yotvata 350 ml</t>
  </si>
  <si>
    <t>יטבתה פרו ארוחת בוקר 350 מל</t>
  </si>
  <si>
    <t>Breakfast pro Yotvata 350 ml</t>
  </si>
  <si>
    <t>ProDrink_7290112343420</t>
  </si>
  <si>
    <t>Yotvata_Breakfast pro Yotvata 350 ml_7290112343420</t>
  </si>
  <si>
    <t>****Yotvata_7290112343420</t>
  </si>
  <si>
    <t>ProDrink_Peru Yotvata drink coffee 250</t>
  </si>
  <si>
    <t>משקה יטבתה פרו קפה 250</t>
  </si>
  <si>
    <t>Peru Yotvata drink coffee 250</t>
  </si>
  <si>
    <t>ProDrink_7290107951401</t>
  </si>
  <si>
    <t>Yotvata_Peru Yotvata drink coffee 250_7290107951401</t>
  </si>
  <si>
    <t>****Yotvata_7290107951401</t>
  </si>
  <si>
    <t>ProDrink_Peru Yotvata drink coffee 350</t>
  </si>
  <si>
    <t>משקה יטבתה פרו קפה 350</t>
  </si>
  <si>
    <t>Peru Yotvata drink coffee 350</t>
  </si>
  <si>
    <t>ProDrink_7290107954976</t>
  </si>
  <si>
    <t>Yotvata_Peru Yotvata drink coffee 350_7290107954976</t>
  </si>
  <si>
    <t>****Yotvata_7290107954976</t>
  </si>
  <si>
    <t>ProDrink_Peru Yotvata drink Vanilla 250 ml</t>
  </si>
  <si>
    <t>משקה יטבתה פרו וניל 250 מל</t>
  </si>
  <si>
    <t>Peru Yotvata drink Vanilla 250 ml</t>
  </si>
  <si>
    <t>ProDrink_7290107951395</t>
  </si>
  <si>
    <t>Yotvata_Peru Yotvata drink Vanilla 250 ml_7290107951395</t>
  </si>
  <si>
    <t>****Yotvata_7290107951395</t>
  </si>
  <si>
    <t>ProDrink_Whey protein shake Berries 350 ml</t>
  </si>
  <si>
    <t>שייק חלבון מי גבינה פירות יער 350מל</t>
  </si>
  <si>
    <t>Whey protein shake Berries 350 ml</t>
  </si>
  <si>
    <t>ProDrink_7290112330970</t>
  </si>
  <si>
    <t>Yotvata_Whey protein shake Berries 350 ml_7290112330970</t>
  </si>
  <si>
    <t>****Yotvata_7290112330970</t>
  </si>
  <si>
    <t>ProDrink_Whey protein smoothie Peach Mango 350 ml</t>
  </si>
  <si>
    <t>שייק חלבון מי גבינה אפרסק מנגו 350מל</t>
  </si>
  <si>
    <t>Whey protein smoothie Peach Mango 350 ml</t>
  </si>
  <si>
    <t>ProDrink_7290112330987</t>
  </si>
  <si>
    <t>Yotvata_Whey protein smoothie Peach Mango 350 ml_7290112330987</t>
  </si>
  <si>
    <t>****Yotvata_7290112330987</t>
  </si>
  <si>
    <t>Red-Bull_Red Bull Energy Drink 30 deposit bond</t>
  </si>
  <si>
    <t>רד בול</t>
  </si>
  <si>
    <t>Red Bull</t>
  </si>
  <si>
    <t>רד בול משקה אנרגיה פקדון 30 אג</t>
  </si>
  <si>
    <t>Red Bull Energy Drink 30 deposit bond</t>
  </si>
  <si>
    <t>RedBull_90162602</t>
  </si>
  <si>
    <t>MANUAL</t>
  </si>
  <si>
    <t>Red-Bull_Red Bull Sugar Free Energy Drink 30 deposit bond</t>
  </si>
  <si>
    <t>רד בול משקה אנרגיה ללא סוכר פקדון 30 אג</t>
  </si>
  <si>
    <t>Red Bull Sugar Free Energy Drink 30 deposit bond</t>
  </si>
  <si>
    <t>RedBull_90162800</t>
  </si>
  <si>
    <t>Red-Bull_Red Bull Sugar Free Energy Drink 30 deposit bond_90162800</t>
  </si>
  <si>
    <t>****Red Bull_90162800</t>
  </si>
  <si>
    <t>RedBull</t>
  </si>
  <si>
    <t>Reva-Lesheva_Moss quarter to seven halva</t>
  </si>
  <si>
    <t>רבע לשבע</t>
  </si>
  <si>
    <t>Reva Lesheva</t>
  </si>
  <si>
    <t>מוס רבע לשבע חלבה</t>
  </si>
  <si>
    <t>Moss quarter to seven halva</t>
  </si>
  <si>
    <t>Reva-lesheva_7290107958523</t>
  </si>
  <si>
    <t>a-quarter-to-seven_Moss quarter to seven halva_7290107958523</t>
  </si>
  <si>
    <t>****a quarter to seven_7290107958523</t>
  </si>
  <si>
    <t>Reva-lesheva</t>
  </si>
  <si>
    <t>Reva-Lesheva_Moss quarter to seven nuts</t>
  </si>
  <si>
    <t>מוס רבע לשבע אגוזים</t>
  </si>
  <si>
    <t>Moss quarter to seven nuts</t>
  </si>
  <si>
    <t>Reva-lesheva_7290106669406</t>
  </si>
  <si>
    <t>a-quarter-to-seven_Moss quarter to seven nuts_7290106669406</t>
  </si>
  <si>
    <t>****a quarter to seven_7290106669406</t>
  </si>
  <si>
    <t>Reva-Lesheva_Nuts snack quarter to seven</t>
  </si>
  <si>
    <t>חטיף רבע לשבע אגוזים</t>
  </si>
  <si>
    <t>Nuts snack quarter to seven</t>
  </si>
  <si>
    <t>Reva-lesheva-bar_7290107937597</t>
  </si>
  <si>
    <t>a-quarter-to-seven_Nuts snack quarter to seven_7290107937597</t>
  </si>
  <si>
    <t>****a quarter to seven_7290107937597</t>
  </si>
  <si>
    <t>Reva-lesheva-bar</t>
  </si>
  <si>
    <t>Reva-Lesheva_One by one quarter to seven</t>
  </si>
  <si>
    <t>רבע לשבע אחד אחד</t>
  </si>
  <si>
    <t>One by one quarter to seven</t>
  </si>
  <si>
    <t>Reva-lesheva_7290112332707</t>
  </si>
  <si>
    <t>a-quarter-to-seven_One by one quarter to seven_7290112332707</t>
  </si>
  <si>
    <t>****a quarter to seven_7290112332707</t>
  </si>
  <si>
    <t>Reva-Lesheva_Quarter to seven flavored tortillas</t>
  </si>
  <si>
    <t>רבע לשבע בטעם טורטית</t>
  </si>
  <si>
    <t>Quarter to seven flavored tortillas</t>
  </si>
  <si>
    <t>Reva-lesheva_7290112331946</t>
  </si>
  <si>
    <t>a-quarter-to-seven_Quarter to seven flavored tortillas_7290112331946</t>
  </si>
  <si>
    <t>****a quarter to seven_7290112331946</t>
  </si>
  <si>
    <t>Reva-Lesheva_Quarter to seven nuts 120g</t>
  </si>
  <si>
    <t>רבע לשבע אגוזים 120 גרם</t>
  </si>
  <si>
    <t>Quarter to seven nuts 120g</t>
  </si>
  <si>
    <t>Reva-lesheva_7290104061219</t>
  </si>
  <si>
    <t>a-quarter-to-seven_Quarter to seven nuts 120g_7290104061219</t>
  </si>
  <si>
    <t>****a quarter to seven_7290104061219</t>
  </si>
  <si>
    <t>Reva-Lesheva_Wafer rolls quarter to seven in chocolate milk</t>
  </si>
  <si>
    <t>גליל וופל רבע לשבע בציפוי שוקולד חלב</t>
  </si>
  <si>
    <t>Wafer rolls quarter to seven in chocolate milk</t>
  </si>
  <si>
    <t>Reva-lesheva_7290106520066</t>
  </si>
  <si>
    <t>a-quarter-to-seven_Wafer rolls quarter to seven in chocolate milk_7290106520066</t>
  </si>
  <si>
    <t>****a quarter to seven_7290106520066</t>
  </si>
  <si>
    <t>Reva-Lesheva_Wafer rolls quarter to seven white chocolate coating</t>
  </si>
  <si>
    <t>גלילי וופל רבע לשבע בציפוי שוקולד לבן</t>
  </si>
  <si>
    <t>Wafer rolls quarter to seven white chocolate coating</t>
  </si>
  <si>
    <t>Reva-lesheva_7290107944366</t>
  </si>
  <si>
    <t>a-quarter-to-seven_Wafer rolls quarter to seven white chocolate coating_7290107944366</t>
  </si>
  <si>
    <t>****a quarter to seven_7290107944366</t>
  </si>
  <si>
    <t>Rivion_Tnuva white buttermilk pasteurized milk 1.5%</t>
  </si>
  <si>
    <t>רויון</t>
  </si>
  <si>
    <t>Rivion</t>
  </si>
  <si>
    <t>תנובה רויון לבן מחלב מפוסטר 1.5%</t>
  </si>
  <si>
    <t>Tnuva white buttermilk pasteurized milk 1.5%</t>
  </si>
  <si>
    <t>Rivion_44248</t>
  </si>
  <si>
    <t>משקאות לבן</t>
  </si>
  <si>
    <t>buttermilk_Tnuva white buttermilk pasteurized milk 1.5%_44248</t>
  </si>
  <si>
    <t>****buttermilk_44248</t>
  </si>
  <si>
    <t>Sababa_50 American Peanut Cool J.</t>
  </si>
  <si>
    <t>סבבה</t>
  </si>
  <si>
    <t>Sababa</t>
  </si>
  <si>
    <t>בוטנים אמריקאים סבבה 50 ג'</t>
  </si>
  <si>
    <t>50 American Peanut Cool J.</t>
  </si>
  <si>
    <t>Sababa_7290010117970</t>
  </si>
  <si>
    <t>Cool_50 American Peanut Cool J._7290010117970</t>
  </si>
  <si>
    <t>****Cool_7290010117970</t>
  </si>
  <si>
    <t>Sababa_Cool American peanut barbecue flavor 50 g</t>
  </si>
  <si>
    <t>בוטנים אמריקאים סבבה בטעם ברביקיו 50 ג'</t>
  </si>
  <si>
    <t>Cool American peanut barbecue flavor 50 g</t>
  </si>
  <si>
    <t>Sababa_7290106653504</t>
  </si>
  <si>
    <t>Cool_Cool American peanut barbecue flavor 50 g_7290106653504</t>
  </si>
  <si>
    <t>****Cool_7290106653504</t>
  </si>
  <si>
    <t>San-Benedetto_San Benedetto Fruit Mix 400 ml</t>
  </si>
  <si>
    <t>סן בנדטו</t>
  </si>
  <si>
    <t>San Benedetto</t>
  </si>
  <si>
    <t>סן בנדטו מיקס פירות 400 מ"ל</t>
  </si>
  <si>
    <t>San Benedetto Fruit Mix 400 ml</t>
  </si>
  <si>
    <t>San-Benedetto_8001620015636</t>
  </si>
  <si>
    <t>San-Benedetto_San Benedetto Fruit Mix 400 ml_8001620015636</t>
  </si>
  <si>
    <t>****San Benedetto_8001620015636</t>
  </si>
  <si>
    <t>San-Benedetto_San Benedetto lemon orange carrot 400 ml</t>
  </si>
  <si>
    <t>סן בנדטו גזר תפוז לימון 400 מ"ל</t>
  </si>
  <si>
    <t>San Benedetto lemon orange carrot 400 ml</t>
  </si>
  <si>
    <t>San-Benedetto_8001620015612</t>
  </si>
  <si>
    <t>San-Benedetto_San Benedetto lemon orange carrot 400 ml_8001620015612</t>
  </si>
  <si>
    <t>****San Benedetto_8001620015612</t>
  </si>
  <si>
    <t>San-Benedetto_San Benedetto water, 500 ml</t>
  </si>
  <si>
    <t>סאן בנדטו</t>
  </si>
  <si>
    <t>מים סאן בנדטו, 500 מ"ל</t>
  </si>
  <si>
    <t>San Benedetto water, 500 ml</t>
  </si>
  <si>
    <t>SanBenedetto_8464505</t>
  </si>
  <si>
    <t>San-Benedetto_San Benedetto water, 500 ml_7290008464505</t>
  </si>
  <si>
    <t>****San Benedetto_7290008464505</t>
  </si>
  <si>
    <t>San-Pellegrino_San Pellegrino carbonated natural mineral water</t>
  </si>
  <si>
    <t>סן פלגרינו</t>
  </si>
  <si>
    <t>San Pellegrino</t>
  </si>
  <si>
    <t>סן פלגרינו מים מינרליים טבעיים מוגזים</t>
  </si>
  <si>
    <t>San Pellegrino carbonated natural mineral water</t>
  </si>
  <si>
    <t>SanPelegrino_8002270846472</t>
  </si>
  <si>
    <t>San-Pellegrino_San Pellegrino carbonated natural mineral water_8002270846472</t>
  </si>
  <si>
    <t>****San Pellegrino_8002270846472</t>
  </si>
  <si>
    <t>SanPelegrino</t>
  </si>
  <si>
    <t>Sappe_Aloe Hotel Safa 300 ml bottle</t>
  </si>
  <si>
    <t>סאפה</t>
  </si>
  <si>
    <t>Sappe</t>
  </si>
  <si>
    <t>סאפה אלוורה מלון בקבוק 300 מ"ל</t>
  </si>
  <si>
    <t>Aloe Hotel Safa 300 ml bottle</t>
  </si>
  <si>
    <t>Sappe_8850389115312</t>
  </si>
  <si>
    <t>Safa_Aloe Hotel Safa 300 ml bottle_8850389115312</t>
  </si>
  <si>
    <t>****Safa_8850389115312</t>
  </si>
  <si>
    <t>Sappe_Aloe Vera drink flavored Safa Hotel</t>
  </si>
  <si>
    <t>סאפה משקה אלוורה בטעם מלון</t>
  </si>
  <si>
    <t>Aloe Vera drink flavored Safa Hotel</t>
  </si>
  <si>
    <t>Sappe_8850389115336</t>
  </si>
  <si>
    <t>Safa_Aloe Vera drink flavored Safa Hotel_8850389115336</t>
  </si>
  <si>
    <t>****Safa_8850389115336</t>
  </si>
  <si>
    <t>Sappe_Safa aloe drink 1 liter apple</t>
  </si>
  <si>
    <t>משקה סאפה אלוורה תפוח 1 ליטר</t>
  </si>
  <si>
    <t>Safa aloe drink 1 liter apple</t>
  </si>
  <si>
    <t>Sappe_8850389105832</t>
  </si>
  <si>
    <t>Safa_Safa aloe drink 1 liter apple_8850389105832</t>
  </si>
  <si>
    <t>****Safa_8850389105832</t>
  </si>
  <si>
    <t>Sappe_Safa aloe vera 300ml bottle grapes</t>
  </si>
  <si>
    <t>סאפה אלוורה ענבים בקבוק 300 מ"ל</t>
  </si>
  <si>
    <t>Safa aloe vera 300ml bottle grapes</t>
  </si>
  <si>
    <t>Sappe_8850389103111</t>
  </si>
  <si>
    <t>Safa_Safa aloe vera 300ml bottle grapes_8850389103111</t>
  </si>
  <si>
    <t>****Safa_8850389103111</t>
  </si>
  <si>
    <t>Sappe_Safa apple bottle 330</t>
  </si>
  <si>
    <t>סאפה תפוח בקבוק 330</t>
  </si>
  <si>
    <t>Safa apple bottle 330</t>
  </si>
  <si>
    <t>Sappe_8850389103128</t>
  </si>
  <si>
    <t>Safa_Safa apple bottle 330_8850389103128</t>
  </si>
  <si>
    <t>****Safa_8850389103128</t>
  </si>
  <si>
    <t>Sappe_Safa drink aloe peach 1L</t>
  </si>
  <si>
    <t>משקה סאפה אלוורה אפרסק 1 ליטר</t>
  </si>
  <si>
    <t>Safa drink aloe peach 1L</t>
  </si>
  <si>
    <t>Sappe_8850389105849</t>
  </si>
  <si>
    <t>Safa_Safa drink aloe peach 1L_8850389105849</t>
  </si>
  <si>
    <t>****Safa_8850389105849</t>
  </si>
  <si>
    <t>Sappe_Safa grape-flavored drink aloe</t>
  </si>
  <si>
    <t>סאפה משקה אלוורה בטעם ענבים</t>
  </si>
  <si>
    <t>Safa grape-flavored drink aloe</t>
  </si>
  <si>
    <t>Sappe_8850389105825</t>
  </si>
  <si>
    <t>Safa_Safa grape-flavored drink aloe_8850389105825</t>
  </si>
  <si>
    <t>****Safa_8850389105825</t>
  </si>
  <si>
    <t>Sappe_Sapa Peach Aloe Vera 300 ml bottle</t>
  </si>
  <si>
    <t>סאפה אלוורה אפרסק בקבוק 300 מ"ל</t>
  </si>
  <si>
    <t>Sapa Peach Aloe Vera 300 ml bottle</t>
  </si>
  <si>
    <t>Sappe_8850389104637</t>
  </si>
  <si>
    <t>Safa_Sapa Peach Aloe Vera 300 ml bottle_8850389104637</t>
  </si>
  <si>
    <t>****Safa_8850389104637</t>
  </si>
  <si>
    <t>Schweppes_Schweppes Asay 330 ml can of cherry</t>
  </si>
  <si>
    <t>שוופס</t>
  </si>
  <si>
    <t>Schweppes</t>
  </si>
  <si>
    <t>שוופס אסאי דובדבן 330 מ"ל פחית</t>
  </si>
  <si>
    <t>Schweppes Asay 330 ml can of cherry</t>
  </si>
  <si>
    <t>Schweppes_7290017888866</t>
  </si>
  <si>
    <t>Schweppes_Schweppes Asay 330 ml can of cherry_7290017888866</t>
  </si>
  <si>
    <t>****Schweppes_7290017888866</t>
  </si>
  <si>
    <t>Schweppes_Schweppes Bitter Lemon 250ml</t>
  </si>
  <si>
    <t>שוופס ביטר לימון 250 מ"ל</t>
  </si>
  <si>
    <t>Schweppes Bitter Lemon 250ml</t>
  </si>
  <si>
    <t>Schweppes_8757010</t>
  </si>
  <si>
    <t>Schweppes_Schweppes Bitter Lemon 250ml_7290008757010</t>
  </si>
  <si>
    <t>****Schweppes_7290008757010</t>
  </si>
  <si>
    <t>Schweppes_Schweppes carbonated apple fruit 1.5 liters</t>
  </si>
  <si>
    <t>שוופס מוגז פירות תפוחים 1.5 ליטר</t>
  </si>
  <si>
    <t>Schweppes carbonated apple fruit 1.5 liters</t>
  </si>
  <si>
    <t>Schweppes_7290012404146</t>
  </si>
  <si>
    <t>Schweppes_Schweppes carbonated apple fruit 1.5 liters_7290012404146</t>
  </si>
  <si>
    <t>****Schweppes_7290012404146</t>
  </si>
  <si>
    <t>Schweppes_Schweppes carbonated apple fruit glass 330 ml</t>
  </si>
  <si>
    <t>שוופס מוגז פירות תפוחים 330 מ"ל זכוכית</t>
  </si>
  <si>
    <t>Schweppes carbonated apple fruit glass 330 ml</t>
  </si>
  <si>
    <t>Schweppes_7290012404177</t>
  </si>
  <si>
    <t>Schweppes_Schweppes carbonated apple fruit glass 330 ml_7290012404177</t>
  </si>
  <si>
    <t>****Schweppes_7290012404177</t>
  </si>
  <si>
    <t>Schweppes_Schweppes carbonated berry delicate glass 330 ml</t>
  </si>
  <si>
    <t>שוופס מוגז עדין פירות יער 330 מ"ל זכוכית</t>
  </si>
  <si>
    <t>Schweppes carbonated berry delicate glass 330 ml</t>
  </si>
  <si>
    <t>Schweppes_7290013702425</t>
  </si>
  <si>
    <t>משקה מוגז עדין בטעמים</t>
  </si>
  <si>
    <t>מוגז עדין בטעמים אישי</t>
  </si>
  <si>
    <t>Schweppes_Schweppes carbonated berry delicate glass 330 ml_7290013702425</t>
  </si>
  <si>
    <t>****Schweppes_7290013702425</t>
  </si>
  <si>
    <t>Schweppes_Schweppes carbonated fruit Lemons 330 ml glass</t>
  </si>
  <si>
    <t>שוופס מוגז פירות לימונים 330 מ"ל זכוכית</t>
  </si>
  <si>
    <t>Schweppes carbonated fruit Lemons 330 ml glass</t>
  </si>
  <si>
    <t>Schweppes_7290012404184</t>
  </si>
  <si>
    <t>Schweppes_Schweppes carbonated fruit Lemons 330 ml glass_7290012404184</t>
  </si>
  <si>
    <t>****Schweppes_7290012404184</t>
  </si>
  <si>
    <t>Schweppes_Schweppes carbonated fruit Limoniid 1.5 liters</t>
  </si>
  <si>
    <t>שוופס מוגז פירות לימונייד 1.5 ליטר</t>
  </si>
  <si>
    <t>Schweppes carbonated fruit Limoniid 1.5 liters</t>
  </si>
  <si>
    <t>Schweppes_7290013702463</t>
  </si>
  <si>
    <t>Schweppes_Schweppes carbonated fruit Limoniid 1.5 liters_7290013702463</t>
  </si>
  <si>
    <t>****Schweppes_7290013702463</t>
  </si>
  <si>
    <t>Schweppes_Schweppes carbonated fruit no-sugar strawberry lime glass 330 ml</t>
  </si>
  <si>
    <t>שוופס מוגז פירות לל"ס תות ליים 330 מ"ל זכוכית</t>
  </si>
  <si>
    <t>Schweppes carbonated fruit no-sugar strawberry lime glass 330 ml</t>
  </si>
  <si>
    <t>Schweppes_7290017023502</t>
  </si>
  <si>
    <t>Schweppes_Schweppes carbonated fruit strawberry lime glass 330 ml</t>
  </si>
  <si>
    <t>שוופס מוגז פירות תות ליים 330 מ"ל זכוכית</t>
  </si>
  <si>
    <t>Schweppes carbonated fruit strawberry lime glass 330 ml</t>
  </si>
  <si>
    <t>Schweppes_7290016006377</t>
  </si>
  <si>
    <t>Schweppes_Schweppes carbonated fruit strawberry lime glass 330 ml_7290016006377</t>
  </si>
  <si>
    <t>****Schweppes_7290016006377</t>
  </si>
  <si>
    <t>Schweppes_Schweppes carbonated grape fruit glass 330 ml</t>
  </si>
  <si>
    <t>שוופס מוגז פירות ענבים 330 מ"ל זכוכית</t>
  </si>
  <si>
    <t>Schweppes carbonated grape fruit glass 330 ml</t>
  </si>
  <si>
    <t>Schweppes_7290014791572</t>
  </si>
  <si>
    <t>Schweppes_Schweppes carbonated grape fruit glass 330 ml_7290014791572</t>
  </si>
  <si>
    <t>****Schweppes_7290014791572</t>
  </si>
  <si>
    <t>Schweppes_Schweppes carbonated pink lemonade fruit 1.5 L.</t>
  </si>
  <si>
    <t>שוופס מוגז פירות לימונדה ורודה 1.5 ל'</t>
  </si>
  <si>
    <t>Schweppes carbonated pink lemonade fruit 1.5 L.</t>
  </si>
  <si>
    <t>Schweppes_7290013702470</t>
  </si>
  <si>
    <t>Schweppes_Schweppes carbonated pink lemonade fruit 1.5 L._7290013702470</t>
  </si>
  <si>
    <t>****Schweppes_7290013702470</t>
  </si>
  <si>
    <t>Schweppes_Schweppes coconut 330 ml can of pineapple</t>
  </si>
  <si>
    <t>שוופס קוקוס אננס 330 מ"ל פחית</t>
  </si>
  <si>
    <t>Schweppes coconut 330 ml can of pineapple</t>
  </si>
  <si>
    <t>Schweppes_7290017888880</t>
  </si>
  <si>
    <t>Schweppes_Schweppes coconut 330 ml can of pineapple_7290017888880</t>
  </si>
  <si>
    <t>****Schweppes_7290017888880</t>
  </si>
  <si>
    <t>Schweppes_Schweppes heads 1.5 L.</t>
  </si>
  <si>
    <t>שוופס ראשן 1.5 ל'</t>
  </si>
  <si>
    <t>Schweppes heads 1.5 L.</t>
  </si>
  <si>
    <t>Schweppes_7290012404238</t>
  </si>
  <si>
    <t>מיקסרים</t>
  </si>
  <si>
    <t>מיקסרים משפחתי 1 + ליטר</t>
  </si>
  <si>
    <t>Schweppes_Schweppes heads 1.5 L._7290012404238</t>
  </si>
  <si>
    <t>****Schweppes_7290012404238</t>
  </si>
  <si>
    <t>Schweppes_Schweppes Lightly Sparkling Berries 1.5 L.</t>
  </si>
  <si>
    <t>שוופס מוגז עדין פירות יער 1.5 ל'</t>
  </si>
  <si>
    <t>Schweppes Lightly Sparkling Berries 1.5 L.</t>
  </si>
  <si>
    <t>Schweppes_7290011051389</t>
  </si>
  <si>
    <t>מוגז עדין בטעמים משפחתי 1ל ומעלה</t>
  </si>
  <si>
    <t>Schweppes_Schweppes Lightly Sparkling Berries 1.5 L._7290011051389</t>
  </si>
  <si>
    <t>****Schweppes_7290011051389</t>
  </si>
  <si>
    <t>Schweppes_Schweppes Lightly Sparkling Peach 1.5 L.</t>
  </si>
  <si>
    <t>שוופס מוגז עדין אפרסק 1.5 ל'</t>
  </si>
  <si>
    <t>Schweppes Lightly Sparkling Peach 1.5 L.</t>
  </si>
  <si>
    <t>Schweppes_7290011051396</t>
  </si>
  <si>
    <t>Schweppes_Schweppes Lightly Sparkling Peach 1.5 L._7290011051396</t>
  </si>
  <si>
    <t>****Schweppes_7290011051396</t>
  </si>
  <si>
    <t>Schweppes_Schweppes Lightly Sparkling Peach 330 ml glass</t>
  </si>
  <si>
    <t>שוופס מוגז עדין אפרסק 330 מ"ל זכוכית</t>
  </si>
  <si>
    <t>Schweppes Lightly Sparkling Peach 330 ml glass</t>
  </si>
  <si>
    <t>Schweppes_7290013702418</t>
  </si>
  <si>
    <t>Schweppes_Schweppes Lightly Sparkling Peach 330 ml glass_7290013702418</t>
  </si>
  <si>
    <t>****Schweppes_7290013702418</t>
  </si>
  <si>
    <t>Schweppes_Schweppes Lime Mojito 330 ml</t>
  </si>
  <si>
    <t>שוופס ליים מוחיטו 330 מל</t>
  </si>
  <si>
    <t>Schweppes Lime Mojito 330 ml</t>
  </si>
  <si>
    <t>Schweppes_7290018471111</t>
  </si>
  <si>
    <t>Schweppes_Schweppes Lime Mojito 330 ml_7290018471111</t>
  </si>
  <si>
    <t>****Schweppes_7290018471111</t>
  </si>
  <si>
    <t>Schweppes_Schweppes pineapple strawberry 330 ml can</t>
  </si>
  <si>
    <t>שוופס אננס תות 330 מ"ל פחית</t>
  </si>
  <si>
    <t>Schweppes pineapple strawberry 330 ml can</t>
  </si>
  <si>
    <t>Schweppes_7290017888842</t>
  </si>
  <si>
    <t>Schweppes_Schweppes pineapple strawberry 330 ml can_7290017888842</t>
  </si>
  <si>
    <t>****Schweppes_7290017888842</t>
  </si>
  <si>
    <t>Schweppes_Schweppes Soda 1 L strong gasification</t>
  </si>
  <si>
    <t>שוופס סודה 1 ל' גיזוז חזק</t>
  </si>
  <si>
    <t>Schweppes Soda 1 L strong gasification</t>
  </si>
  <si>
    <t>Schweppes_7290017888729</t>
  </si>
  <si>
    <t>Schweppes_Schweppes Soda 1 L strong gasification_7290017888729</t>
  </si>
  <si>
    <t>****Schweppes_7290017888729</t>
  </si>
  <si>
    <t>Schweppes_Schweppes soda lime glass 250 ml</t>
  </si>
  <si>
    <t>שוופס סודה לימון 250 מ"ל זכוכית</t>
  </si>
  <si>
    <t>Schweppes soda lime glass 250 ml</t>
  </si>
  <si>
    <t>Schweppes_7290011051358</t>
  </si>
  <si>
    <t>Schweppes_Schweppes soda lime glass 250 ml_7290011051358</t>
  </si>
  <si>
    <t>****Schweppes_7290011051358</t>
  </si>
  <si>
    <t>Schweppes_Schweppes soda lime mint 250ml glass</t>
  </si>
  <si>
    <t>שוופס סודה נענע ליים 250 מ"ל זכוכית</t>
  </si>
  <si>
    <t>Schweppes soda lime mint 250ml glass</t>
  </si>
  <si>
    <t>Schweppes_7290014791626</t>
  </si>
  <si>
    <t>Schweppes_Schweppes soda lime mint 250ml glass_7290014791626</t>
  </si>
  <si>
    <t>****Schweppes_7290014791626</t>
  </si>
  <si>
    <t>Schweppes_Schweppes soda water 1.5 liters</t>
  </si>
  <si>
    <t>שוופס מי סודה 1.5 ליטר</t>
  </si>
  <si>
    <t>Schweppes soda water 1.5 liters</t>
  </si>
  <si>
    <t>Schweppes_285849</t>
  </si>
  <si>
    <t>Schweppes_Schweppes soda water 1.5 liters_7290000285849</t>
  </si>
  <si>
    <t>****Schweppes_7290000285849</t>
  </si>
  <si>
    <t>Schweppes_Schweppes soda, 250 ml</t>
  </si>
  <si>
    <t>שוופס סודה, 250 מ"ל</t>
  </si>
  <si>
    <t>Schweppes soda, 250 ml</t>
  </si>
  <si>
    <t>Schweppes_8757034</t>
  </si>
  <si>
    <t>Schweppes_Schweppes soda, 250 ml_7290008757034</t>
  </si>
  <si>
    <t>****Schweppes_7290008757034</t>
  </si>
  <si>
    <t>Schweppes_Schweppes Strawberry Kiwi 330 ml can</t>
  </si>
  <si>
    <t>שוופס תות קיווי 330 מ"ל פחית</t>
  </si>
  <si>
    <t>Schweppes Strawberry Kiwi 330 ml can</t>
  </si>
  <si>
    <t>Schweppes_7290017888859</t>
  </si>
  <si>
    <t>Schweppes_Schweppes Strawberry Kiwi 330 ml can_7290017888859</t>
  </si>
  <si>
    <t>****Schweppes_7290017888859</t>
  </si>
  <si>
    <t>Seven-Up_Saban up to 1.5 liters</t>
  </si>
  <si>
    <t>סבן אפ</t>
  </si>
  <si>
    <t>Seven Up</t>
  </si>
  <si>
    <t>סבן אפ 1.5 ליטר</t>
  </si>
  <si>
    <t>Saban up to 1.5 liters</t>
  </si>
  <si>
    <t>SevenUp_433714</t>
  </si>
  <si>
    <t>משקאות מוגזים טעמי למון ליים</t>
  </si>
  <si>
    <t>תוסס משפחתי למון ליים 1ל ומעלה</t>
  </si>
  <si>
    <t>Seven-Up_Saban up to 1.5 liters_433714</t>
  </si>
  <si>
    <t>****Seven Up_433714</t>
  </si>
  <si>
    <t>SevenUp</t>
  </si>
  <si>
    <t>Seven-Up_Seven up a bottle of 500 ml</t>
  </si>
  <si>
    <t>סבן אפ בקבוק 500 מל</t>
  </si>
  <si>
    <t>Seven up a bottle of 500 ml</t>
  </si>
  <si>
    <t>SevenUp_7290010237579</t>
  </si>
  <si>
    <t>תוסס למון ליים אישי</t>
  </si>
  <si>
    <t>Seven-Up_Seven up a bottle of 500 ml_7290010237579</t>
  </si>
  <si>
    <t>****Seven Up_7290010237579</t>
  </si>
  <si>
    <t>ski_Ski white cheese 250g 5%</t>
  </si>
  <si>
    <t>סקי</t>
  </si>
  <si>
    <t>ski</t>
  </si>
  <si>
    <t>סקי גבינה לבנה 5% 250 גרם</t>
  </si>
  <si>
    <t>Ski white cheese 250g 5%</t>
  </si>
  <si>
    <t>Ski_2824640</t>
  </si>
  <si>
    <t>גבינות לבנות</t>
  </si>
  <si>
    <t>גבינות לבנות 200-250גר</t>
  </si>
  <si>
    <t>ski_Ski white cheese 250g 5%_2824640</t>
  </si>
  <si>
    <t>****ski_2824640</t>
  </si>
  <si>
    <t>Ski</t>
  </si>
  <si>
    <t>Skittles_Skittles candy fruit 38 grams</t>
  </si>
  <si>
    <t>סקיטלס</t>
  </si>
  <si>
    <t>Skittles</t>
  </si>
  <si>
    <t>סוכריות סקיטלס פירות 38 גרם</t>
  </si>
  <si>
    <t>Skittles candy fruit 38 grams</t>
  </si>
  <si>
    <t>Skittles_5000159376655</t>
  </si>
  <si>
    <t>Skittles_Skittles candy fruit 38 grams_5000159376655</t>
  </si>
  <si>
    <t>****Skittles_5000159376655</t>
  </si>
  <si>
    <t>Skittles_Sour Skittles candy 38 g</t>
  </si>
  <si>
    <t>סוכריות סקיטלס חמוץ 38 גרם</t>
  </si>
  <si>
    <t>Sour Skittles candy 38 g</t>
  </si>
  <si>
    <t>Skittles_5000159376792</t>
  </si>
  <si>
    <t>Skittles_Sour Skittles candy 38 g_5000159376792</t>
  </si>
  <si>
    <t>****Skittles_5000159376792</t>
  </si>
  <si>
    <t>SmallBottleMeal_Drink milk with cereal and banana 250 ml</t>
  </si>
  <si>
    <t>SmallBottleMeal</t>
  </si>
  <si>
    <t>משקה חלב עם דגנים ובננה 250 מ"ל</t>
  </si>
  <si>
    <t>Drink milk with cereal and banana 250 ml</t>
  </si>
  <si>
    <t>SmallBottleMeal_7290107933643</t>
  </si>
  <si>
    <t>Yotvata_Drink milk with cereal and banana 250 ml_7290107933643</t>
  </si>
  <si>
    <t>****Yotvata_7290107933643</t>
  </si>
  <si>
    <t>SmallBottleMeal_Milk drink with strawberries and oat control</t>
  </si>
  <si>
    <t>משקה חלב עם תות ושיבולת שועל מלאה</t>
  </si>
  <si>
    <t>Milk drink with strawberries and oat control</t>
  </si>
  <si>
    <t>SmallBottleMeal_7290107933650</t>
  </si>
  <si>
    <t>Yotvata_Milk drink with strawberries and oat control_7290107933650</t>
  </si>
  <si>
    <t>****Yotvata_7290107933650</t>
  </si>
  <si>
    <t>Smirnoff_Vodka Smirnoff Ice</t>
  </si>
  <si>
    <t>סמירנוף</t>
  </si>
  <si>
    <t>Smirnoff</t>
  </si>
  <si>
    <t>וודקה סמירנוף אייס</t>
  </si>
  <si>
    <t>Vodka Smirnoff Ice</t>
  </si>
  <si>
    <t>SmirnoffIce_5410316983693</t>
  </si>
  <si>
    <t>Smirnoff_Vodka Smirnoff Ice_5410316983693</t>
  </si>
  <si>
    <t>****Smirnoff_5410316983693</t>
  </si>
  <si>
    <t>SmirnoffIce</t>
  </si>
  <si>
    <t>Snickers_Snickers chocolate 50g</t>
  </si>
  <si>
    <t>סניקרס</t>
  </si>
  <si>
    <t>Snickers</t>
  </si>
  <si>
    <t>חטיף סניקרס שוקולד 50 גרם</t>
  </si>
  <si>
    <t>Snickers chocolate 50g</t>
  </si>
  <si>
    <t>Snickers_5000159461122</t>
  </si>
  <si>
    <t>Snickers_Snickers chocolate 50g_5000159461122</t>
  </si>
  <si>
    <t>****Snickers_5000159461122</t>
  </si>
  <si>
    <t>Snickers-minis_Snickers chocolate bag 170 g</t>
  </si>
  <si>
    <t>מיני סניקרס</t>
  </si>
  <si>
    <t>Snickers minis</t>
  </si>
  <si>
    <t>שקית שוקולד סניקרס 170גרם</t>
  </si>
  <si>
    <t>Snickers chocolate bag 170 g</t>
  </si>
  <si>
    <t>Snickers-mini_5000159473866</t>
  </si>
  <si>
    <t>Snickers_Snickers chocolate bag 170 g_5000159473866</t>
  </si>
  <si>
    <t>****Snickers_5000159473866</t>
  </si>
  <si>
    <t>Snickers-mini</t>
  </si>
  <si>
    <t>Snyders_Sadr Snyders pretzels 56 g</t>
  </si>
  <si>
    <t>סניידרס</t>
  </si>
  <si>
    <t>Snyders</t>
  </si>
  <si>
    <t>בייגלה סניידרס צדר 56 גרם</t>
  </si>
  <si>
    <t>Sadr Snyders pretzels 56 g</t>
  </si>
  <si>
    <t>Snyders_77975099933</t>
  </si>
  <si>
    <t>Snijders_Sadr Snyders pretzels 56 g_77975099933</t>
  </si>
  <si>
    <t>Snyders_Snyders flavored pretzel pieces parmesan and garlic 283</t>
  </si>
  <si>
    <t>סניידרס שברי בייגלה בטעם פרמזן ושום 283</t>
  </si>
  <si>
    <t>Snyders flavored pretzel pieces parmesan and garlic 283</t>
  </si>
  <si>
    <t>Snyders_77975094006</t>
  </si>
  <si>
    <t>Snijders_Snyders flavored pretzel pieces parmesan and garlic 283_77975094006</t>
  </si>
  <si>
    <t>Snyders_Snyders pretzels and cheese sandwich 226 grams Tz"dr</t>
  </si>
  <si>
    <t>בייגלה סניידרס סנדביץ גבינה צ"דר 226 גרם</t>
  </si>
  <si>
    <t>Snyders pretzels and cheese sandwich 226 grams Tz"dr</t>
  </si>
  <si>
    <t>Snyders_77975094631</t>
  </si>
  <si>
    <t>Snijders_Snyders pretzels and cheese sandwich 226 grams Tz"dr_77975094631</t>
  </si>
  <si>
    <t>Snyders_Snyders pretzels and honey mustard onion 56 grams</t>
  </si>
  <si>
    <t>בייגלה סניידרס דבש חרדל ובצל 56 גרם</t>
  </si>
  <si>
    <t>Snyders pretzels and honey mustard onion 56 grams</t>
  </si>
  <si>
    <t>Snyders_77975099919</t>
  </si>
  <si>
    <t>Snijders_Snyders pretzels and honey mustard onion 56 grams_77975099919</t>
  </si>
  <si>
    <t>Snyders_Snyders pretzels fragments peanut butter 283 grams</t>
  </si>
  <si>
    <t>שברי בייגלה סניידרס חמאת בוטנים 283 גרם</t>
  </si>
  <si>
    <t>Snyders pretzels fragments peanut butter 283 grams</t>
  </si>
  <si>
    <t>Snyders_77975094624</t>
  </si>
  <si>
    <t>Snijders_Snyders pretzels fragments peanut butter 283 grams_77975094624</t>
  </si>
  <si>
    <t>Snyders_Snyders pretzels Honey Mustard and Onion 340g</t>
  </si>
  <si>
    <t>בייגלה סניידרס דבש חרדל ובצל 340 גרם</t>
  </si>
  <si>
    <t>Snyders pretzels Honey Mustard and Onion 340g</t>
  </si>
  <si>
    <t>Snyders_77975088227</t>
  </si>
  <si>
    <t>Snijders_Snyders pretzels Honey Mustard and Onion 340g_77975088227</t>
  </si>
  <si>
    <t>Snyders_Snyders Sandwich bagels with cream flavor</t>
  </si>
  <si>
    <t>סניידרס סנדוויץ בייגלה במילוי קרם בטעם</t>
  </si>
  <si>
    <t>Snyders Sandwich bagels with cream flavor</t>
  </si>
  <si>
    <t>Snyders_77975091975</t>
  </si>
  <si>
    <t>Snijders_Snyders Sandwich bagels with cream flavor_77975091975</t>
  </si>
  <si>
    <t>Snyders_Snyders taste Sadr 340g</t>
  </si>
  <si>
    <t>סניידרס בטעם צדר 340 גרם</t>
  </si>
  <si>
    <t>Snyders taste Sadr 340g</t>
  </si>
  <si>
    <t>Snyders_77975088210</t>
  </si>
  <si>
    <t>Snijders_Snyders taste Sadr 340g_77975094761</t>
  </si>
  <si>
    <t>****Snijders_77975094761</t>
  </si>
  <si>
    <t>Sol_Sol 330 HF single bottle</t>
  </si>
  <si>
    <t>סול</t>
  </si>
  <si>
    <t>Sol</t>
  </si>
  <si>
    <t>סול ח"פ 330 בקבוק בודד</t>
  </si>
  <si>
    <t>Sol 330 HF single bottle</t>
  </si>
  <si>
    <t>Sol_7500162900000</t>
  </si>
  <si>
    <t>G_Sol 330 HF single bottle_7500162900000</t>
  </si>
  <si>
    <t>****G_7500162900000</t>
  </si>
  <si>
    <t>Sommersby_Sommersby cider</t>
  </si>
  <si>
    <t>סומרסבי</t>
  </si>
  <si>
    <t>Sommersby</t>
  </si>
  <si>
    <t>סומרסבי סיידר תפוחים</t>
  </si>
  <si>
    <t>Sommersby cider</t>
  </si>
  <si>
    <t>Somersby_7290011018474</t>
  </si>
  <si>
    <t>Sommersby_Sommersby cider_7290011018474</t>
  </si>
  <si>
    <t>****Sommersby_7290011018474</t>
  </si>
  <si>
    <t>Somersby</t>
  </si>
  <si>
    <t>Splendid_Dark Chocolate 85% Splendid December Legg 100 g</t>
  </si>
  <si>
    <t>ספלנדיד</t>
  </si>
  <si>
    <t>Splendid</t>
  </si>
  <si>
    <t>שוקולד ספלנדיד מריר 85% בדצ ללג 100 גר</t>
  </si>
  <si>
    <t>Dark Chocolate 85% Splendid December Legg 100 g</t>
  </si>
  <si>
    <t>Splendid_7290105961525</t>
  </si>
  <si>
    <t>Splendid_Dark Chocolate 85% Splendid December Legg 100 g_7290105961525</t>
  </si>
  <si>
    <t>****Splendid_7290105961525</t>
  </si>
  <si>
    <t>Splendid_Splendid BITES bitter hazelnuts and cranberries</t>
  </si>
  <si>
    <t>ספלנדיד BITES מריר אגוזי לוז וחמוציות</t>
  </si>
  <si>
    <t>Splendid BITES bitter hazelnuts and cranberries</t>
  </si>
  <si>
    <t>Splendid-bites_7290112344793</t>
  </si>
  <si>
    <t>Splendid_Splendid BITES bitter hazelnuts and cranberries_7290112344793</t>
  </si>
  <si>
    <t>****Splendid_7290112344793</t>
  </si>
  <si>
    <t>Splendid-bites</t>
  </si>
  <si>
    <t>Splendid_Splendid Munchies Milk Hazelnut and coconut 105</t>
  </si>
  <si>
    <t>נשנושי ספלנדיד חלב אגוזי לוז וקוקוס 105</t>
  </si>
  <si>
    <t>Splendid Munchies Milk Hazelnut and coconut 105</t>
  </si>
  <si>
    <t>Splendid-bites_7290112344007</t>
  </si>
  <si>
    <t>Splendid_Splendid Munchies Milk Hazelnut and coconut 105_7290112344007</t>
  </si>
  <si>
    <t>****Splendid_7290112344007</t>
  </si>
  <si>
    <t>Spring_Spring apple and pear nectar bottle of 330 ml Sabers</t>
  </si>
  <si>
    <t>ספרינג</t>
  </si>
  <si>
    <t>Spring</t>
  </si>
  <si>
    <t>נקטר ספרינג תפוח אגס סברס בקבוק 330 מ"ל</t>
  </si>
  <si>
    <t>Spring apple and pear nectar bottle of 330 ml Sabers</t>
  </si>
  <si>
    <t>Spring_7290016006773</t>
  </si>
  <si>
    <t>Spring_Spring apple and pear nectar bottle of 330 ml Sabers_7290016006773</t>
  </si>
  <si>
    <t>****Spring_7290016006773</t>
  </si>
  <si>
    <t>Spring_Spring apple pear prickly pears, 1.5 liter</t>
  </si>
  <si>
    <t>ספרינג אגס סברס תפוח, 1.5 ליטר</t>
  </si>
  <si>
    <t>Spring apple pear prickly pears, 1.5 liter</t>
  </si>
  <si>
    <t>Spring_5564253</t>
  </si>
  <si>
    <t>Spring_Spring apple pear prickly pears, 1.5 liter_7290005564253</t>
  </si>
  <si>
    <t>****Spring_7290005564253</t>
  </si>
  <si>
    <t>Spring_Spring Exotic Mango 330 ml glass</t>
  </si>
  <si>
    <t>ספרינג אקזוטיק מנגו 330 מ"ל זכוכית</t>
  </si>
  <si>
    <t>Spring Exotic Mango 330 ml glass</t>
  </si>
  <si>
    <t>Spring_7290016006759</t>
  </si>
  <si>
    <t>Spring_Spring Exotic Mango 330 ml glass_7290016006759</t>
  </si>
  <si>
    <t>****Spring_7290016006759</t>
  </si>
  <si>
    <t>Spring_Spring Strawberry Banana 1.5, 1.5 liters</t>
  </si>
  <si>
    <t>ספרינג תות בננה 1.5, 1.5 ליטר</t>
  </si>
  <si>
    <t>Spring Strawberry Banana 1.5, 1.5 liters</t>
  </si>
  <si>
    <t>Spring_3608089</t>
  </si>
  <si>
    <t>Spring_Spring Strawberry Banana 1.5, 1.5 liters_7290003608089</t>
  </si>
  <si>
    <t>****Spring_7290003608089</t>
  </si>
  <si>
    <t>Sprite_1.5 liter Sprite Zero</t>
  </si>
  <si>
    <t>ספרייט</t>
  </si>
  <si>
    <t>Sprite</t>
  </si>
  <si>
    <t>ספרייט זירו 1.5 ליטר</t>
  </si>
  <si>
    <t>1.5 liter Sprite Zero</t>
  </si>
  <si>
    <t>Sprite_7290013585240</t>
  </si>
  <si>
    <t>משקאות מוגזים טעמי למון ליים דיאט</t>
  </si>
  <si>
    <t>תוסס דיאט למון ליים משפחתי 1ל ומעלה</t>
  </si>
  <si>
    <t>Sprite_1.5 liter Sprite Zero_7290013585240</t>
  </si>
  <si>
    <t>****Sprite_7290013585240</t>
  </si>
  <si>
    <t>Sprite_Lime can of Sprite</t>
  </si>
  <si>
    <t>ספרייט ליים פחית</t>
  </si>
  <si>
    <t>Lime can of Sprite</t>
  </si>
  <si>
    <t>Sprite_7290110110659</t>
  </si>
  <si>
    <t>Sprite_Lime can of Sprite_7290110110659</t>
  </si>
  <si>
    <t>****Sprite_7290110110659</t>
  </si>
  <si>
    <t>Sprite_Lime Sprite bottle</t>
  </si>
  <si>
    <t>ספרייט ליים בקבוק</t>
  </si>
  <si>
    <t>Lime Sprite bottle</t>
  </si>
  <si>
    <t>Sprite_7290110110611</t>
  </si>
  <si>
    <t>Sprite_Lime Sprite bottle_7290110110611</t>
  </si>
  <si>
    <t>****Sprite_7290110110611</t>
  </si>
  <si>
    <t>Sprite_Sprite Lime personal bottle</t>
  </si>
  <si>
    <t>ספרייט ליים בבקבוק אישי</t>
  </si>
  <si>
    <t>Sprite Lime personal bottle</t>
  </si>
  <si>
    <t>Sprite_7290110110635</t>
  </si>
  <si>
    <t>Sprite_Sprite Lime personal bottle_7290110110635</t>
  </si>
  <si>
    <t>****Sprite_7290110110635</t>
  </si>
  <si>
    <t>Sprite_Sprite Zero 500 ml</t>
  </si>
  <si>
    <t>ספרייט זירו 500 מ"ל</t>
  </si>
  <si>
    <t>Sprite Zero 500 ml</t>
  </si>
  <si>
    <t>Sprite_7290013585257</t>
  </si>
  <si>
    <t>תוסס דיאט למון ליים אישי</t>
  </si>
  <si>
    <t>Sprite_Sprite Zero 500 ml_7290013585257</t>
  </si>
  <si>
    <t>****Sprite_7290013585257</t>
  </si>
  <si>
    <t>Sprite_Sprite Zero can</t>
  </si>
  <si>
    <t>ספרייט זירו פחית</t>
  </si>
  <si>
    <t>Sprite Zero can</t>
  </si>
  <si>
    <t>Sprite_7290013585233</t>
  </si>
  <si>
    <t>Sprite_Sprite Zero can_7290013585233</t>
  </si>
  <si>
    <t>****Sprite_7290013585233</t>
  </si>
  <si>
    <t>Stax_Liège Classic 155.9 g Tube</t>
  </si>
  <si>
    <t>סטאקס</t>
  </si>
  <si>
    <t>Stax</t>
  </si>
  <si>
    <t>לייז טיוב קלאסי 155.9 גרם</t>
  </si>
  <si>
    <t>Liège Classic 155.9 g Tube</t>
  </si>
  <si>
    <t>Stax_28400055093</t>
  </si>
  <si>
    <t>Liège_Liège Classic 155.9 g Tube_28400055093</t>
  </si>
  <si>
    <t>Stax_Liège Tube smoked barbecue 155.9 g</t>
  </si>
  <si>
    <t>לייז טיוב ברביקיו מעושן 155.9גרם</t>
  </si>
  <si>
    <t>Liège Tube smoked barbecue 155.9 g</t>
  </si>
  <si>
    <t>Stax_28400055109</t>
  </si>
  <si>
    <t>Liège_Liège Tube smoked barbecue 155.9 g_28400055109</t>
  </si>
  <si>
    <t>Stax_Liège Tube sour cream and onion 155.9 g</t>
  </si>
  <si>
    <t>לייז טיוב שמנת חמוצה ובצל 155.9 גרם</t>
  </si>
  <si>
    <t>Liège Tube sour cream and onion 155.9 g</t>
  </si>
  <si>
    <t>Stax_28400055154</t>
  </si>
  <si>
    <t>Liège_Liège Tube sour cream and onion 155.9 g_28400055154</t>
  </si>
  <si>
    <t>Stella_Stella Artois beer bright 5% alcohol 330 ml</t>
  </si>
  <si>
    <t>סטלה</t>
  </si>
  <si>
    <t>Stella</t>
  </si>
  <si>
    <t>סטלה ארטואה בירה בהירה 5% אלכוהול 330 מ"ל</t>
  </si>
  <si>
    <t>Stella Artois beer bright 5% alcohol 330 ml</t>
  </si>
  <si>
    <t>Stella_2542773</t>
  </si>
  <si>
    <t>Stella_Stella Artois beer bright 5% alcohol 330 ml_7290002542773</t>
  </si>
  <si>
    <t>****Stella_7290002542773</t>
  </si>
  <si>
    <t>Stella_Stella Artois can of 440 ml</t>
  </si>
  <si>
    <t>סטלה ארטואה פחית 440 מל</t>
  </si>
  <si>
    <t>Stella Artois can of 440 ml</t>
  </si>
  <si>
    <t>Heineken_5410228217732</t>
  </si>
  <si>
    <t>Stella_Stella Artois can of 440 ml_5410228217732</t>
  </si>
  <si>
    <t>****Stella_5410228217732</t>
  </si>
  <si>
    <t>Strongbow_Apple Cider 5% alcohol Strongbao 330 ml</t>
  </si>
  <si>
    <t>סטרונגבאו</t>
  </si>
  <si>
    <t>Strongbow</t>
  </si>
  <si>
    <t>סיידר תפוחים 5% אלכוהול סטרונגבאו 330 מל</t>
  </si>
  <si>
    <t>Apple Cider 5% alcohol Strongbao 330 ml</t>
  </si>
  <si>
    <t>StrongBow_5035766044673</t>
  </si>
  <si>
    <t>Strongbao_Apple Cider 5% alcohol Strongbao 330 ml_5035766044673</t>
  </si>
  <si>
    <t>****Strongbao_5035766044673</t>
  </si>
  <si>
    <t>StrongBow</t>
  </si>
  <si>
    <t>Sugat-jar-1Kg_White sugar 1kg jar</t>
  </si>
  <si>
    <t>סוגת</t>
  </si>
  <si>
    <t>Sugat jar 1Kg</t>
  </si>
  <si>
    <t>סוכר לבן צנצנת 1 ק"ג</t>
  </si>
  <si>
    <t>White sugar 1kg jar</t>
  </si>
  <si>
    <t>Sucar-Sugat_3643387</t>
  </si>
  <si>
    <t>סוכר</t>
  </si>
  <si>
    <t>Genre_White sugar 1kg jar_7290003643387</t>
  </si>
  <si>
    <t>****Genre_7290003643387</t>
  </si>
  <si>
    <t>symphony_Natural symphony 5%</t>
  </si>
  <si>
    <t>סימפוניה</t>
  </si>
  <si>
    <t>symphony</t>
  </si>
  <si>
    <t>סימפוניה טבעי 5%</t>
  </si>
  <si>
    <t>Natural symphony 5%</t>
  </si>
  <si>
    <t>Symphonia_4584351</t>
  </si>
  <si>
    <t>גבינות במרקם שמנת</t>
  </si>
  <si>
    <t>גבינות במרקם שמנת טבעי</t>
  </si>
  <si>
    <t>symphony_Natural symphony 5%_4584351</t>
  </si>
  <si>
    <t>****symphony_4584351</t>
  </si>
  <si>
    <t>Symphonia</t>
  </si>
  <si>
    <t>symphony_Olive Symphony creamy texture 5%</t>
  </si>
  <si>
    <t>סימפוניה זיתים 5% במרקם שמנת</t>
  </si>
  <si>
    <t>Olive Symphony creamy texture 5%</t>
  </si>
  <si>
    <t>Symphonia_5839108</t>
  </si>
  <si>
    <t>גבינות במרקם שמנת בטעמים</t>
  </si>
  <si>
    <t>symphony_Olive Symphony creamy texture 5%_5839108</t>
  </si>
  <si>
    <t>****symphony_5839108</t>
  </si>
  <si>
    <t>Taami_40 g flavors</t>
  </si>
  <si>
    <t>טעמי</t>
  </si>
  <si>
    <t>Taami</t>
  </si>
  <si>
    <t>טעמי 40 גרם</t>
  </si>
  <si>
    <t>40 g flavors</t>
  </si>
  <si>
    <t>Taami_72917367</t>
  </si>
  <si>
    <t>Reasons_40 g flavors_72917367</t>
  </si>
  <si>
    <t>****Reasons_72917367</t>
  </si>
  <si>
    <t>Tapuchips_Onion cream flavored potato chips 200g</t>
  </si>
  <si>
    <t>תפוצ'יפס</t>
  </si>
  <si>
    <t>Tapuchips</t>
  </si>
  <si>
    <t>תפוצ'יפס בטעם שמנת בצל 200 גרם</t>
  </si>
  <si>
    <t>Onion cream flavored potato chips 200g</t>
  </si>
  <si>
    <t>Tapuchips_7290104722530</t>
  </si>
  <si>
    <t>Ruffles_Onion cream flavored potato chips 200g_7290104722530</t>
  </si>
  <si>
    <t>Tapuchips_Potato chips crunchy Mexican flavor 200g</t>
  </si>
  <si>
    <t>תפוצ'יפס קראנצ' בטעם מקסיקני 200 גרם</t>
  </si>
  <si>
    <t>Potato chips crunchy Mexican flavor 200g</t>
  </si>
  <si>
    <t>Tapuchips_7290102030330</t>
  </si>
  <si>
    <t>Ruffles_Potato chips crunchy Mexican flavor 200g_7290102030330</t>
  </si>
  <si>
    <t>Tapuchips_Potato chips flavored with salt and pepper 50g</t>
  </si>
  <si>
    <t>תפוצ'יפס בטעם מלח ופלפל 50 גרם</t>
  </si>
  <si>
    <t>Potato chips flavored with salt and pepper 50g</t>
  </si>
  <si>
    <t>Tapuchips_7290106662025</t>
  </si>
  <si>
    <t>Ruffles_Potato chips flavored with salt and pepper 50g_7290106662025</t>
  </si>
  <si>
    <t>****Ruffles_7290106662025</t>
  </si>
  <si>
    <t>Tapuchips_Ruffles Pops 60g</t>
  </si>
  <si>
    <t>תפוצ'יפס פופס 60 גרם</t>
  </si>
  <si>
    <t>Ruffles Pops 60g</t>
  </si>
  <si>
    <t>Tapuchips_7290106524439</t>
  </si>
  <si>
    <t>Ruffles_Ruffles Pops 60g_7290106524439</t>
  </si>
  <si>
    <t>Tapuchips_Ruffles sticks, 200 g</t>
  </si>
  <si>
    <t>תפוצ'יפס מקלות, 200 גרם</t>
  </si>
  <si>
    <t>Ruffles sticks, 200 g</t>
  </si>
  <si>
    <t>Tapuchips_7290112342195</t>
  </si>
  <si>
    <t>Ruffles_Ruffles sticks, 200 g_7290112342195</t>
  </si>
  <si>
    <t>Tapuchips_Ruffles sticks, 60 g</t>
  </si>
  <si>
    <t>תפוצ'יפס מקלות, 60 גרם</t>
  </si>
  <si>
    <t>Ruffles sticks, 60 g</t>
  </si>
  <si>
    <t>Tapuchips_7290107942355</t>
  </si>
  <si>
    <t>Ruffles_Ruffles sticks, 60 g_7290107942355</t>
  </si>
  <si>
    <t>****Ruffles_7290107942355</t>
  </si>
  <si>
    <t>Tapuchips_Tfotzifs</t>
  </si>
  <si>
    <t>תפוציפס</t>
  </si>
  <si>
    <t>Tfotzifs</t>
  </si>
  <si>
    <t>Tapuchips_8753111</t>
  </si>
  <si>
    <t>Ruffles_Tfotzifs_7290008753111</t>
  </si>
  <si>
    <t>****Ruffles_7290008753111</t>
  </si>
  <si>
    <t>Tapuchips_Tfotzifs baked garlic yogurt and dill 45 g</t>
  </si>
  <si>
    <t>תפוציפס אפוי יוגורט שום ושמיר 45 גרם</t>
  </si>
  <si>
    <t>Tfotzifs baked garlic yogurt and dill 45 g</t>
  </si>
  <si>
    <t>Tapuchips_7290110561918</t>
  </si>
  <si>
    <t>Ruffles_Tfotzifs baked garlic yogurt and dill 45 g_7290110561918</t>
  </si>
  <si>
    <t>Tapuchips_Tfotzifs baked natural flavor 45 g</t>
  </si>
  <si>
    <t>תפוציפס אפוי בטעם טבעי 45 גרם</t>
  </si>
  <si>
    <t>Tfotzifs baked natural flavor 45 g</t>
  </si>
  <si>
    <t>Tapuchips_7290112359018</t>
  </si>
  <si>
    <t>Ruffles_Tfotzifs baked natural flavor 45 g_7290112359018</t>
  </si>
  <si>
    <t>Tapuchips_Tfotzifs cream and onion 50 g</t>
  </si>
  <si>
    <t>תפוציפס שמנת ובצל 50 גר'</t>
  </si>
  <si>
    <t>Tfotzifs cream and onion 50 g</t>
  </si>
  <si>
    <t>Tapuchips_5200786</t>
  </si>
  <si>
    <t>Ruffles_Tfotzifs cream and onion 50 g_7290005200786</t>
  </si>
  <si>
    <t>****Ruffles_7290005200786</t>
  </si>
  <si>
    <t>Tapuchips_Tfotzifs Grill Crunch 50 g</t>
  </si>
  <si>
    <t>תפוציפס קראנץ גריל 50 גר'</t>
  </si>
  <si>
    <t>Tfotzifs Grill Crunch 50 g</t>
  </si>
  <si>
    <t>Tapuchips_8752244</t>
  </si>
  <si>
    <t>Ruffles_Tfotzifs Grill Crunch 50 g_7290008752244</t>
  </si>
  <si>
    <t>****Ruffles_7290008752244</t>
  </si>
  <si>
    <t>Tapuchips_Tfotzifs natural 200g</t>
  </si>
  <si>
    <t>תפוציפס טבעי 200 גר'</t>
  </si>
  <si>
    <t>Tfotzifs natural 200g</t>
  </si>
  <si>
    <t>Tapuchips_178721</t>
  </si>
  <si>
    <t>Ruffles_Tfotzifs natural 200g_7290000178721</t>
  </si>
  <si>
    <t>****Ruffles_7290000178721</t>
  </si>
  <si>
    <t>Tapuchips_Tfotzifs natural 50g</t>
  </si>
  <si>
    <t>תפוציפס טבעי 50 גר'</t>
  </si>
  <si>
    <t>Tfotzifs natural 50g</t>
  </si>
  <si>
    <t>Tapuchips_178707</t>
  </si>
  <si>
    <t>Ruffles_Tfotzifs natural 50g_7290000178707</t>
  </si>
  <si>
    <t>****Ruffles_7290000178707</t>
  </si>
  <si>
    <t>Tapuchips_Tfotzifs natural Crunch 200 g</t>
  </si>
  <si>
    <t>תפוציפס קראנץ טבעי 200 גר'</t>
  </si>
  <si>
    <t>Tfotzifs natural Crunch 200 g</t>
  </si>
  <si>
    <t>Tapuchips_8747547</t>
  </si>
  <si>
    <t>Ruffles_Tfotzifs natural Crunch 200 g_7290008747547</t>
  </si>
  <si>
    <t>****Ruffles_7290008747547</t>
  </si>
  <si>
    <t>Tapuchips_Tfotzifs natural Crunch 50 g</t>
  </si>
  <si>
    <t>תפוציפס קראנץ טבעי 50 גר'</t>
  </si>
  <si>
    <t>Tfotzifs natural Crunch 50 g</t>
  </si>
  <si>
    <t>Tapuchips_8745239</t>
  </si>
  <si>
    <t>Ruffles_Tfotzifs natural Crunch 50 g_7290008745239</t>
  </si>
  <si>
    <t>****Ruffles_7290008745239</t>
  </si>
  <si>
    <t>Tapuchips_Tfotzifs salt and vinegar 50g</t>
  </si>
  <si>
    <t>תפוציפס מלח חומץ 50 גרם</t>
  </si>
  <si>
    <t>Tfotzifs salt and vinegar 50g</t>
  </si>
  <si>
    <t>Tapuchips_7290115676990</t>
  </si>
  <si>
    <t>Ruffles_Tfotzifs salt and vinegar 50g_7290115676990</t>
  </si>
  <si>
    <t>****Ruffles_7290115676990</t>
  </si>
  <si>
    <t>Tapuzina_Tangelo grapes, 500 ml</t>
  </si>
  <si>
    <t>תפוזינה</t>
  </si>
  <si>
    <t>Tapuzina</t>
  </si>
  <si>
    <t>תפוזינה ענבים, 500 מ"ל</t>
  </si>
  <si>
    <t>Tangelo grapes, 500 ml</t>
  </si>
  <si>
    <t>Tapuzina_6644510</t>
  </si>
  <si>
    <t>Tangelo_Tangelo grapes, 500 ml_7290006644510</t>
  </si>
  <si>
    <t>****Tangelo_7290006644510</t>
  </si>
  <si>
    <t>Tapuzina_Tangelo lemonade, 1.5 liter</t>
  </si>
  <si>
    <t>תפוזינה לימונדה, 1.5 ליטר</t>
  </si>
  <si>
    <t>Tangelo lemonade, 1.5 liter</t>
  </si>
  <si>
    <t>Tapuzina_5564680</t>
  </si>
  <si>
    <t>Tangelo_Tangelo lemonade, 1.5 liter_7290005564680</t>
  </si>
  <si>
    <t>****Tangelo_7290005564680</t>
  </si>
  <si>
    <t>Tapuzina_Tangelo oranges, 1.5 liter</t>
  </si>
  <si>
    <t>תפוזינה תפוזים, 1.5 ליטר</t>
  </si>
  <si>
    <t>Tangelo oranges, 1.5 liter</t>
  </si>
  <si>
    <t>Tapuzina_2663522</t>
  </si>
  <si>
    <t>Tangelo_Tangelo oranges, 1.5 liter_7290002663522</t>
  </si>
  <si>
    <t>****Tangelo_7290002663522</t>
  </si>
  <si>
    <t>Tapuzina_Tangelo Strawberry Banana, 500 ml</t>
  </si>
  <si>
    <t>תפוזינה תות בננה, 500 מ"ל</t>
  </si>
  <si>
    <t>Tangelo Strawberry Banana, 500 ml</t>
  </si>
  <si>
    <t>Tapuzina_6644527</t>
  </si>
  <si>
    <t>Tangelo_Tangelo Strawberry Banana, 500 ml_7290006644527</t>
  </si>
  <si>
    <t>****Tangelo_7290006644527</t>
  </si>
  <si>
    <t>tempo_1.5-liter soda</t>
  </si>
  <si>
    <t>טמפו</t>
  </si>
  <si>
    <t>tempo</t>
  </si>
  <si>
    <t>מי סודה 1.5 ליטר</t>
  </si>
  <si>
    <t>1.5-liter soda</t>
  </si>
  <si>
    <t>Tempo_327624</t>
  </si>
  <si>
    <t>tempo_1.5-liter soda_7290000327624</t>
  </si>
  <si>
    <t>****tempo_7290000327624</t>
  </si>
  <si>
    <t>tempo_Lemon Soda 275 ml touches</t>
  </si>
  <si>
    <t>סודה נגיעות לימון 275 מ"ל</t>
  </si>
  <si>
    <t>Lemon Soda 275 ml touches</t>
  </si>
  <si>
    <t>Tempo_7290000135151</t>
  </si>
  <si>
    <t>tempo_Lemon Soda 275 ml touches_7290000135151</t>
  </si>
  <si>
    <t>****tempo_7290000135151</t>
  </si>
  <si>
    <t>Tempo</t>
  </si>
  <si>
    <t>tempo_Tempo bottle of mineral water, 275 ml</t>
  </si>
  <si>
    <t>מי סודה טמפו בקבוק, 275 מ"ל</t>
  </si>
  <si>
    <t>Tempo bottle of mineral water, 275 ml</t>
  </si>
  <si>
    <t>Tempo_7290008464611</t>
  </si>
  <si>
    <t>tempo_Tempo bottle of mineral water, 275 ml_7290008464611</t>
  </si>
  <si>
    <t>****tempo_7290008464611</t>
  </si>
  <si>
    <t>Terra_Tara sweet potatoes with sea salt 30g</t>
  </si>
  <si>
    <t>טרה</t>
  </si>
  <si>
    <t>Terra</t>
  </si>
  <si>
    <t>טרה בטטה עם מלח ים 30 גרם</t>
  </si>
  <si>
    <t>Tara sweet potatoes with sea salt 30g</t>
  </si>
  <si>
    <t>Terra_8907931003600</t>
  </si>
  <si>
    <t>Terra_Tara sweet potatoes with sea salt 30g_8907931003600</t>
  </si>
  <si>
    <t>****Terra_8907931003600</t>
  </si>
  <si>
    <t>Taster's-Choice-200g_Tstr's Choice instant coffee 200g</t>
  </si>
  <si>
    <t>טסטר צ'ויס</t>
  </si>
  <si>
    <t>Taster's Choice 200g</t>
  </si>
  <si>
    <t>קפה נמס טסטר'ס צ'ויס 200 גרם</t>
  </si>
  <si>
    <t>Tstr's Choice instant coffee 200g</t>
  </si>
  <si>
    <t>Tasters-Choice_72753</t>
  </si>
  <si>
    <t>Tester's-Choice_Tstr's Choice instant coffee 200g_7290000072753</t>
  </si>
  <si>
    <t>****Tester's Choice_7290000072753</t>
  </si>
  <si>
    <t>TicTac_Tic Tac mints</t>
  </si>
  <si>
    <t>טיק טק</t>
  </si>
  <si>
    <t>TicTac</t>
  </si>
  <si>
    <t>טיק טק מנטה</t>
  </si>
  <si>
    <t>Tic Tac mints</t>
  </si>
  <si>
    <t>TicTac_80050124</t>
  </si>
  <si>
    <t>סוכריות מרעננות עם סוכר</t>
  </si>
  <si>
    <t>Quick_Tic Tac mints_80050124</t>
  </si>
  <si>
    <t>****Quick_80050124</t>
  </si>
  <si>
    <t>TicTac_Tic Tac orange</t>
  </si>
  <si>
    <t>טיק טק תפוז</t>
  </si>
  <si>
    <t>Tic Tac orange</t>
  </si>
  <si>
    <t>TicTac_80050025</t>
  </si>
  <si>
    <t>Quick_Tic Tac orange_80050025</t>
  </si>
  <si>
    <t>****Quick_80050025</t>
  </si>
  <si>
    <t>Tim-Tam_Tim Tam Double 200g</t>
  </si>
  <si>
    <t>טים טם</t>
  </si>
  <si>
    <t>Tim Tam</t>
  </si>
  <si>
    <t>טים טם דאבל 200 גרם</t>
  </si>
  <si>
    <t>Tim Tam Double 200g</t>
  </si>
  <si>
    <t>Timtam_9310072028750</t>
  </si>
  <si>
    <t>Tim-Tam_Tim Tam Double 200g_9310072028750</t>
  </si>
  <si>
    <t>****Tim Tam_9310072028750</t>
  </si>
  <si>
    <t>Timtam</t>
  </si>
  <si>
    <t>Tim-Tam_Tim Tam Original 200g</t>
  </si>
  <si>
    <t>טים טם אורגינל 200 גרם</t>
  </si>
  <si>
    <t>Tim Tam Original 200g</t>
  </si>
  <si>
    <t>Timtam_9310072028743</t>
  </si>
  <si>
    <t>Tim-Tam_Tim Tam Original 200g_9310072028743</t>
  </si>
  <si>
    <t>****Tim Tam_9310072028743</t>
  </si>
  <si>
    <t>Tnuva-SmallBottle_Chocolate yield 340 ml bottle</t>
  </si>
  <si>
    <t>Tnuva-SmallBottle</t>
  </si>
  <si>
    <t>שוקו תנובה 340 מ"ל בבקבוק</t>
  </si>
  <si>
    <t>Chocolate yield 340 ml bottle</t>
  </si>
  <si>
    <t>Tnuva-SmallBottle_4136130</t>
  </si>
  <si>
    <t>yield_Chocolate yield 340 ml bottle_4136130</t>
  </si>
  <si>
    <t>****yield_4136130</t>
  </si>
  <si>
    <t>Tnuva-SmallBottle_MOCHA yield 340 ml bottle</t>
  </si>
  <si>
    <t>משקה מוקה תנובה בבקבוק 340 מ"ל</t>
  </si>
  <si>
    <t>MOCHA yield 340 ml bottle</t>
  </si>
  <si>
    <t>Tnuva-SmallBottle_52304</t>
  </si>
  <si>
    <t>yield_MOCHA yield 340 ml bottle_52304</t>
  </si>
  <si>
    <t>****yield_52304</t>
  </si>
  <si>
    <t>Tnuva-SmallBottle_Tnuva Iced coffee drink 340 ml bottle</t>
  </si>
  <si>
    <t>משקה אייס קפה תנובה בבקבוק 340 מל</t>
  </si>
  <si>
    <t>Tnuva Iced coffee drink 340 ml bottle</t>
  </si>
  <si>
    <t>Tnuva-SmallBottle_4136154</t>
  </si>
  <si>
    <t>yield_Tnuva Iced coffee drink 340 ml bottle_4136154</t>
  </si>
  <si>
    <t>****yield_4136154</t>
  </si>
  <si>
    <t>Tortit_Pinocchio tortillas filled with almond cream</t>
  </si>
  <si>
    <t>פינוקיות טורטית במילוי קרם שקדים</t>
  </si>
  <si>
    <t>Pinocchio tortillas filled with almond cream</t>
  </si>
  <si>
    <t>Tortit_7290112346537</t>
  </si>
  <si>
    <t>Tortilla_Pinocchio tortillas filled with almond cream_7290112346537</t>
  </si>
  <si>
    <t>****Tortilla_7290112346537</t>
  </si>
  <si>
    <t>Tortit</t>
  </si>
  <si>
    <t>Tortit-bar_Tortilla - Snack wafer coated with almond cream</t>
  </si>
  <si>
    <t>Tortit-bar</t>
  </si>
  <si>
    <t>טורטית - חטיף וופל מצופה עם קרם שקדים</t>
  </si>
  <si>
    <t>Tortilla - Snack wafer coated with almond cream</t>
  </si>
  <si>
    <t>Tortit-bar_7290106658479</t>
  </si>
  <si>
    <t>Tortilla_Tortilla - Snack wafer coated with almond cream_7290106658479</t>
  </si>
  <si>
    <t>****Tortilla_7290106658479</t>
  </si>
  <si>
    <t>Tuborg_Tuborg beer bottle, 330 ml</t>
  </si>
  <si>
    <t>טובורג</t>
  </si>
  <si>
    <t>Tuborg</t>
  </si>
  <si>
    <t>בירה טובורג בקבוק, 330 מ"ל</t>
  </si>
  <si>
    <t>Tuborg beer bottle, 330 ml</t>
  </si>
  <si>
    <t>Tuborg_1594520</t>
  </si>
  <si>
    <t>Tuborg_Tuborg beer bottle, 330 ml_7290001594520</t>
  </si>
  <si>
    <t>****Tuborg_7290001594520</t>
  </si>
  <si>
    <t>Tuborg_Tuborg beer can of 500 ml</t>
  </si>
  <si>
    <t>בירה טובורג פחית 500 מ"ל</t>
  </si>
  <si>
    <t>Tuborg beer can of 500 ml</t>
  </si>
  <si>
    <t>Tuborg_1594575</t>
  </si>
  <si>
    <t>Tuborg_Tuborg beer can of 500 ml_7290001594575</t>
  </si>
  <si>
    <t>****Tuborg_7290001594575</t>
  </si>
  <si>
    <t>Twist_Twist 28 g</t>
  </si>
  <si>
    <t>טוויסט</t>
  </si>
  <si>
    <t>Twist</t>
  </si>
  <si>
    <t>טוויסט 28 גרם</t>
  </si>
  <si>
    <t>Twist 28 g</t>
  </si>
  <si>
    <t>Twist_72918388</t>
  </si>
  <si>
    <t>Twist_Twist 28 g_72918388</t>
  </si>
  <si>
    <t>****Twist_72918388</t>
  </si>
  <si>
    <t>Twix-bar_Twix bar snack 50g</t>
  </si>
  <si>
    <t>טויקס</t>
  </si>
  <si>
    <t>Twix bar</t>
  </si>
  <si>
    <t>חטיף טויקס 50 גרם</t>
  </si>
  <si>
    <t>Twix bar snack 50g</t>
  </si>
  <si>
    <t>Twix_5000159459228</t>
  </si>
  <si>
    <t>Twix-bar_Twix bar snack 50g_5000159459228</t>
  </si>
  <si>
    <t>****Twix bar_5000159459228</t>
  </si>
  <si>
    <t>Twix</t>
  </si>
  <si>
    <t>Ugale_Butter-flavored biscuits -170 g tin</t>
  </si>
  <si>
    <t>עוגלה</t>
  </si>
  <si>
    <t>Ugale</t>
  </si>
  <si>
    <t>עוגיות בטעם חמאה -170 גרם קופסת פח</t>
  </si>
  <si>
    <t>Butter-flavored biscuits -170 g tin</t>
  </si>
  <si>
    <t>Dance-delights_7290018194683</t>
  </si>
  <si>
    <t>עוגיות בייסיק</t>
  </si>
  <si>
    <t>עוגיות יבשות בייסיק</t>
  </si>
  <si>
    <t>Rounded_Butter-flavored biscuits -170 g tin_7290018194683</t>
  </si>
  <si>
    <t>****Rounded_7290018194683</t>
  </si>
  <si>
    <t>Dance-delights</t>
  </si>
  <si>
    <t>Wanted-wafer_Coconut cookies ETI 44.5 g</t>
  </si>
  <si>
    <t>וונטד ופל</t>
  </si>
  <si>
    <t>Wanted-wafer</t>
  </si>
  <si>
    <t>עוגיות ETI קוקוס 44.5גרם</t>
  </si>
  <si>
    <t>Coconut cookies ETI 44.5 g</t>
  </si>
  <si>
    <t>Wanted-Wafer_8690526009216</t>
  </si>
  <si>
    <t>ETI_Coconut cookies ETI 44.5 g_8690526009216</t>
  </si>
  <si>
    <t>****ETI_8690526009216</t>
  </si>
  <si>
    <t>Wanted-Wafer</t>
  </si>
  <si>
    <t>Wanted-wafer_ETI snack nougat 28 g</t>
  </si>
  <si>
    <t>חטיף ETI נוגט 28גרם</t>
  </si>
  <si>
    <t>ETI snack nougat 28 g</t>
  </si>
  <si>
    <t>Wanted-Wafer_8690526009292</t>
  </si>
  <si>
    <t>ETI_ETI snack nougat 28 g_8690526009292</t>
  </si>
  <si>
    <t>****ETI_8690526009292</t>
  </si>
  <si>
    <t>Wanted-wafer_Excellent milk chocolate with hazelnuts 70g</t>
  </si>
  <si>
    <t>שוקולד חלב מעולה עם אגוזי לוז 70 גרם</t>
  </si>
  <si>
    <t>Excellent milk chocolate with hazelnuts 70g</t>
  </si>
  <si>
    <t>Wanted-chocolate_8690526009315</t>
  </si>
  <si>
    <t>ETI_Excellent milk chocolate with hazelnuts 70g_8690526009315</t>
  </si>
  <si>
    <t>****ETI_8690526009315</t>
  </si>
  <si>
    <t>Wanted-chocolate</t>
  </si>
  <si>
    <t>Wanted-wafer_Excellent milk chocolate with pistachios 70g</t>
  </si>
  <si>
    <t>שוקולד חלב מעולה עם פיסטוקים 70 גרם</t>
  </si>
  <si>
    <t>Excellent milk chocolate with pistachios 70g</t>
  </si>
  <si>
    <t>Wanted-chocolate_8690526009339</t>
  </si>
  <si>
    <t>ETI_Excellent milk chocolate with pistachios 70g_8690526009339</t>
  </si>
  <si>
    <t>****ETI_8690526009339</t>
  </si>
  <si>
    <t>Wanted-wafer_Wafer chocolate cocoa cream filling 142 g</t>
  </si>
  <si>
    <t>וופל קקאו במילוי קרם קקאו 142 גרם</t>
  </si>
  <si>
    <t>Wafer chocolate cocoa cream filling 142 g</t>
  </si>
  <si>
    <t>Wanted-wafer_8690526019154</t>
  </si>
  <si>
    <t>ETI_Wafer chocolate cocoa cream filling 142 g_8690526019154</t>
  </si>
  <si>
    <t>****ETI_8690526019154</t>
  </si>
  <si>
    <t>Wanted-wafer_Wafer chocolate coconut cream filling 142 g</t>
  </si>
  <si>
    <t>וופל קקאו במילוי קרם קוקוס 142 גרם</t>
  </si>
  <si>
    <t>Wafer chocolate coconut cream filling 142 g</t>
  </si>
  <si>
    <t>Wanted-wafer_8690526019178</t>
  </si>
  <si>
    <t>ETI_Wafer chocolate coconut cream filling 142 g_8690526019178</t>
  </si>
  <si>
    <t>****ETI_8690526019178</t>
  </si>
  <si>
    <t>Wanted-wafer_Wafer chocolate coconut cream filling 40 g</t>
  </si>
  <si>
    <t>וופל קקאו במילוי קרם קוקוס 40 גרם</t>
  </si>
  <si>
    <t>Wafer chocolate coconut cream filling 40 g</t>
  </si>
  <si>
    <t>Wanted-Wafer_8690526009179</t>
  </si>
  <si>
    <t>ETI_Wafer chocolate coconut cream filling 40 g_8690526009179</t>
  </si>
  <si>
    <t>****ETI_8690526009179</t>
  </si>
  <si>
    <t>Werthers_Butterscotch Warter without sugar 80g</t>
  </si>
  <si>
    <t>וורטר</t>
  </si>
  <si>
    <t>Werthers</t>
  </si>
  <si>
    <t>סוכריות חמאה וורטר ללא סוכר 80 גרם</t>
  </si>
  <si>
    <t>Butterscotch Warter without sugar 80g</t>
  </si>
  <si>
    <t>Werthers_4014400914696</t>
  </si>
  <si>
    <t>Warter_Butterscotch Warter without sugar 80g_4014400914696</t>
  </si>
  <si>
    <t>****Warter_4014400914696</t>
  </si>
  <si>
    <t>Werthers_Caramel coated popcorn snack</t>
  </si>
  <si>
    <t>חטיף פופקורן בציפוי קרמל</t>
  </si>
  <si>
    <t>Caramel coated popcorn snack</t>
  </si>
  <si>
    <t>Werthers_4014400925319</t>
  </si>
  <si>
    <t>Warter_Caramel coated popcorn snack_4014400925319</t>
  </si>
  <si>
    <t>WhiteCreamTnuva_5% cream cheese 250g Mehadrin</t>
  </si>
  <si>
    <t>WhiteCreamTnuva</t>
  </si>
  <si>
    <t>גבינה לבנה 5% 250 גרם מהדרין</t>
  </si>
  <si>
    <t>5% cream cheese 250g Mehadrin</t>
  </si>
  <si>
    <t>WhiteCreamTnuva_48185</t>
  </si>
  <si>
    <t>yield_5% cream cheese 250g Mehadrin_48185</t>
  </si>
  <si>
    <t>****yield_48185</t>
  </si>
  <si>
    <t>Wissotzky-classic-25u_Classic tea envelopes Vysotsky 25 units</t>
  </si>
  <si>
    <t>ויסוצקי</t>
  </si>
  <si>
    <t>Wissotzky classic 25u</t>
  </si>
  <si>
    <t>תה קלאסיק מעטפות ויסוצקי 25 יחידות</t>
  </si>
  <si>
    <t>Classic tea envelopes Vysotsky 25 units</t>
  </si>
  <si>
    <t>Wissotzky-Tea_345260</t>
  </si>
  <si>
    <t>תה</t>
  </si>
  <si>
    <t>Vysotsky_Classic tea envelopes Vysotsky 25 units_7290000345260</t>
  </si>
  <si>
    <t>****Vysotsky_7290000345260</t>
  </si>
  <si>
    <t>Wissotzky-lemon-grass-aloyisa_Green tea + lemon. And Louisa</t>
  </si>
  <si>
    <t>Wissotzky lemon grass aloyisa</t>
  </si>
  <si>
    <t>תה ירוק+לימונ. ולואיזה</t>
  </si>
  <si>
    <t>Green tea + lemon. And Louisa</t>
  </si>
  <si>
    <t>Wissotzky-Tea_347752</t>
  </si>
  <si>
    <t>Vysotsky_Green tea + lemon. And Louisa_7290000347752</t>
  </si>
  <si>
    <t>****Vysotsky_7290000347752</t>
  </si>
  <si>
    <t>Wissotzky-green-mint_Green tea with mint 25 S.</t>
  </si>
  <si>
    <t>Wissotzky green mint</t>
  </si>
  <si>
    <t>תה ירוק עם נענע 25 ש</t>
  </si>
  <si>
    <t>Green tea with mint 25 S.</t>
  </si>
  <si>
    <t>Wissotzky-Tea_347738</t>
  </si>
  <si>
    <t>Vysotsky_Green tea with mint 25 S._7290000347738</t>
  </si>
  <si>
    <t>****Vysotsky_7290000347738</t>
  </si>
  <si>
    <t>Wissotzky_Vysotsky ICE drink green tea and lime verbena</t>
  </si>
  <si>
    <t>Wissotzky</t>
  </si>
  <si>
    <t>ויסוצקי ICE משקה תה ירוק לימונית לואיזה</t>
  </si>
  <si>
    <t>Vysotsky ICE drink green tea and lime verbena</t>
  </si>
  <si>
    <t>Wissotzky_7290013585899</t>
  </si>
  <si>
    <t>Vysotsky_Vysotsky ICE drink green tea and lime verbena_7290013585899</t>
  </si>
  <si>
    <t>****Vysotsky_7290013585899</t>
  </si>
  <si>
    <t>Wissotzky_Vysotsky ICE mint infusion of 350 mL</t>
  </si>
  <si>
    <t>ויסוצקי ICE חליטת נענע 350 מ"ל</t>
  </si>
  <si>
    <t>Vysotsky ICE mint infusion of 350 mL</t>
  </si>
  <si>
    <t>Wissotzky_7290013586285</t>
  </si>
  <si>
    <t>Vysotsky_Vysotsky ICE mint infusion of 350 mL_7290013586285</t>
  </si>
  <si>
    <t>****Vysotsky_7290013586285</t>
  </si>
  <si>
    <t>XL_XL Energy Drink 250 ml carbonated</t>
  </si>
  <si>
    <t>XL</t>
  </si>
  <si>
    <t>XL משקה אנרגיה מוגז 250 מל</t>
  </si>
  <si>
    <t>XL Energy Drink 250 ml carbonated</t>
  </si>
  <si>
    <t>XL_5906485301012</t>
  </si>
  <si>
    <t>XL_XL Energy Drink 250 ml carbonated_5906485301012</t>
  </si>
  <si>
    <t>****XL_5906485301012</t>
  </si>
  <si>
    <t>XL-TEN_And canned energy drink mint lime TEN XL, 250 ml</t>
  </si>
  <si>
    <t>XL TEN</t>
  </si>
  <si>
    <t>משקה אנרגיה בפחית XL TEN נענע ליים, 250 מ"ל</t>
  </si>
  <si>
    <t>And canned energy drink mint lime TEN XL, 250 ml</t>
  </si>
  <si>
    <t>XL_7290000135113</t>
  </si>
  <si>
    <t>XL-TEN_And canned energy drink mint lime TEN XL, 250 ml_7290000135113</t>
  </si>
  <si>
    <t>****XL TEN_7290000135113</t>
  </si>
  <si>
    <t>XL-TEN_TEN XL Energy Drink apple can excel, 250 ml</t>
  </si>
  <si>
    <t>משקה אנרגיה XL TEN אקסל פחית תפוח, 250 מ"ל</t>
  </si>
  <si>
    <t>TEN XL Energy Drink apple can excel, 250 ml</t>
  </si>
  <si>
    <t>XL_7290000135045</t>
  </si>
  <si>
    <t>XL-TEN_TEN XL Energy Drink apple can excel, 250 ml_7290000135045</t>
  </si>
  <si>
    <t>****XL TEN_7290000135045</t>
  </si>
  <si>
    <t>XL-TEN_TEN XL Energy Drink Mango tin, 250 ml</t>
  </si>
  <si>
    <t>משקה אנרגיה XL TEN מנגו פחית, 250 מ"ל</t>
  </si>
  <si>
    <t>TEN XL Energy Drink Mango tin, 250 ml</t>
  </si>
  <si>
    <t>XL_135052</t>
  </si>
  <si>
    <t>XL-TEN_TEN XL Energy Drink Mango tin, 250 ml_7290000135052</t>
  </si>
  <si>
    <t>****XL TEN_7290000135052</t>
  </si>
  <si>
    <t>XL-TEN_XL Energy Drink 250 ml can of TEN</t>
  </si>
  <si>
    <t>משקה אנרגיה XL TEN פחית 250 מ"ל</t>
  </si>
  <si>
    <t>XL Energy Drink 250 ml can of TEN</t>
  </si>
  <si>
    <t>XL_5902198160403</t>
  </si>
  <si>
    <t>XL_XL Energy Drink 250 ml can of TEN_5902198160403</t>
  </si>
  <si>
    <t>****XL_5902198160403</t>
  </si>
  <si>
    <t>YOLO_YOLO dark chocolate 123 g</t>
  </si>
  <si>
    <t>יולו</t>
  </si>
  <si>
    <t>YOLO</t>
  </si>
  <si>
    <t>YOLO מעדן שוקולד מריר מעולה 123 גרם</t>
  </si>
  <si>
    <t>YOLO dark chocolate 123 g</t>
  </si>
  <si>
    <t>Yolo_7290014761063</t>
  </si>
  <si>
    <t>YOLO_YOLO drink chocolate milk 340 ml Classic</t>
  </si>
  <si>
    <t>YOLO משקה חלב עם שוקולד קלאסי 340 מל</t>
  </si>
  <si>
    <t>YOLO drink chocolate milk 340 ml Classic</t>
  </si>
  <si>
    <t>YoloDrink_7290110326999</t>
  </si>
  <si>
    <t>YOLO_YOLO drink chocolate milk 340 ml Classic_7290110326999</t>
  </si>
  <si>
    <t>****YOLO_7290110326999</t>
  </si>
  <si>
    <t>YoloDrink</t>
  </si>
  <si>
    <t>YOLO_YOLO milk chocolate 123 g</t>
  </si>
  <si>
    <t>YOLO מעדן שוקולד חלב מעולה 123 גרם</t>
  </si>
  <si>
    <t>YOLO milk chocolate 123 g</t>
  </si>
  <si>
    <t>Yolo_7290014761056</t>
  </si>
  <si>
    <t>Yolplait-Go_Go Strawberry Yogurt 200g</t>
  </si>
  <si>
    <t>יופלה גו</t>
  </si>
  <si>
    <t>Yolplait Go</t>
  </si>
  <si>
    <t>יוגורט גו תות 200 גרם</t>
  </si>
  <si>
    <t>Go Strawberry Yogurt 200g</t>
  </si>
  <si>
    <t>Go_7290110321680</t>
  </si>
  <si>
    <t>Yoplait_Go Strawberry Yogurt 200g_7290110321680</t>
  </si>
  <si>
    <t>****Yoplait_7290110321680</t>
  </si>
  <si>
    <t>Go</t>
  </si>
  <si>
    <t>Yolplait-Go_Go Yogurt 200g berries</t>
  </si>
  <si>
    <t>יוגורט גו פירות יער 200 גרם</t>
  </si>
  <si>
    <t>Go Yogurt 200g berries</t>
  </si>
  <si>
    <t>Go_7290110321703</t>
  </si>
  <si>
    <t>Yoplait_Go Yogurt 200g berries_7290110321703</t>
  </si>
  <si>
    <t>****Yoplait_7290110321703</t>
  </si>
  <si>
    <t>Yoplait_Yoplait crackling on top</t>
  </si>
  <si>
    <t>Yoplait</t>
  </si>
  <si>
    <t>יופלה און טופ פצפוצים</t>
  </si>
  <si>
    <t>Yoplait crackling on top</t>
  </si>
  <si>
    <t>Yoplait_7290110326210</t>
  </si>
  <si>
    <t>Yoplait_Yoplait crackling on top_7290110326210</t>
  </si>
  <si>
    <t>****Yoplait_7290110326210</t>
  </si>
  <si>
    <t>Yoplait_Yoplait granola on top</t>
  </si>
  <si>
    <t>יופלה און טופ גרנולה</t>
  </si>
  <si>
    <t>Yoplait granola on top</t>
  </si>
  <si>
    <t>Yoplait_7290110326241</t>
  </si>
  <si>
    <t>Yoplait_Yoplait granola on top_7290110326241</t>
  </si>
  <si>
    <t>****Yoplait_7290110326241</t>
  </si>
  <si>
    <t>Yoplait_Yoplait On Top Stars</t>
  </si>
  <si>
    <t>יופלה און טופ כוכבים</t>
  </si>
  <si>
    <t>Yoplait On Top Stars</t>
  </si>
  <si>
    <t>Yoplait_7290110326234</t>
  </si>
  <si>
    <t>Yoplait_Yoplait On Top Stars_7290110326234</t>
  </si>
  <si>
    <t>****Yoplait_7290110326234</t>
  </si>
  <si>
    <t>Yoplait_Yoplait yogurt drink a glass of berries 200 g 2%</t>
  </si>
  <si>
    <t>יופלה משקה יוגורט בכוס פירות יער 2% 200ג</t>
  </si>
  <si>
    <t>Yoplait yogurt drink a glass of berries 200 g 2%</t>
  </si>
  <si>
    <t>Yoplait_7290110324636</t>
  </si>
  <si>
    <t>Yoplait_Yoplait yogurt drink a glass of berries 200 g 2%_7290110324636</t>
  </si>
  <si>
    <t>****Yoplait_7290110324636</t>
  </si>
  <si>
    <t>Yoplait_Yoplait yogurt drink a glass of strawberries and cream 2%</t>
  </si>
  <si>
    <t>יופלה משקה יוגורט בכוס תותים בשמנת 2%</t>
  </si>
  <si>
    <t>Yoplait yogurt drink a glass of strawberries and cream 2%</t>
  </si>
  <si>
    <t>Yoplait_7290110324612</t>
  </si>
  <si>
    <t>Yoplait_Yoplait yogurt drink a glass of strawberries and cream 2%_7290110324612</t>
  </si>
  <si>
    <t>****Yoplait_7290110324612</t>
  </si>
  <si>
    <t>Yoplait_Yoplait yogurt peach 3%</t>
  </si>
  <si>
    <t>יוגורט יופלה אפרסק 3%</t>
  </si>
  <si>
    <t>Yoplait yogurt peach 3%</t>
  </si>
  <si>
    <t>Yoplait_40080</t>
  </si>
  <si>
    <t>Yoplait_Yoplait yogurt peach 3%_40080</t>
  </si>
  <si>
    <t>****Yoplait_40080</t>
  </si>
  <si>
    <t>Yoplait_Yoplait yogurt strawberry 3%</t>
  </si>
  <si>
    <t>יוגורט יופלה תות 3%</t>
  </si>
  <si>
    <t>Yoplait yogurt strawberry 3%</t>
  </si>
  <si>
    <t>Yoplait_40042</t>
  </si>
  <si>
    <t>Yoplait_Yoplait yogurt strawberry 3%_40042</t>
  </si>
  <si>
    <t>****Yoplait_40042</t>
  </si>
  <si>
    <t>YoplaitDrink_Yoplait yogurt drink Banana Peach</t>
  </si>
  <si>
    <t>YoplaitDrink</t>
  </si>
  <si>
    <t>יופלה משקה יוגורט בטעם בננה אפרסק</t>
  </si>
  <si>
    <t>Yoplait yogurt drink Banana Peach</t>
  </si>
  <si>
    <t>YoplaitDrink_55336</t>
  </si>
  <si>
    <t>Yoplait_Yoplait yogurt drink Banana Peach_55336</t>
  </si>
  <si>
    <t>****Yoplait_55336</t>
  </si>
  <si>
    <t>YoplaitDrink_Yoplait yogurt drink strawberry hotel</t>
  </si>
  <si>
    <t>יופלה משקה יוגורט תות מלון</t>
  </si>
  <si>
    <t>Yoplait yogurt drink strawberry hotel</t>
  </si>
  <si>
    <t>YoplaitDrink_55329</t>
  </si>
  <si>
    <t>Yoplait_Yoplait yogurt drink strawberry hotel_55329</t>
  </si>
  <si>
    <t>****Yoplait_55329</t>
  </si>
  <si>
    <t>Yotvata-BigBottle_Flavored milk drink 1 liter of iced coffee</t>
  </si>
  <si>
    <t>Yotvata-BigBottle</t>
  </si>
  <si>
    <t>משקה חלב בטעם אייס קפה 1 ליטר</t>
  </si>
  <si>
    <t>Flavored milk drink 1 liter of iced coffee</t>
  </si>
  <si>
    <t>Yotvata-BigBottle_3029907</t>
  </si>
  <si>
    <t>Yotvata_Flavored milk drink 1 liter of iced coffee_3029907</t>
  </si>
  <si>
    <t>****Yotvata_3029907</t>
  </si>
  <si>
    <t>Yotvata-BigBottle_Mocha-flavored milk drink 1 liter</t>
  </si>
  <si>
    <t>משקה חלב בטעם מוקה 1 ליטר</t>
  </si>
  <si>
    <t>Mocha-flavored milk drink 1 liter</t>
  </si>
  <si>
    <t>Yotvata-BigBottle_3029532</t>
  </si>
  <si>
    <t>Yotvata_Mocha-flavored milk drink 1 liter_3029532</t>
  </si>
  <si>
    <t>****Yotvata_3029532</t>
  </si>
  <si>
    <t>Yotvata-BigBottle_Yotvata chocolate milk 1 liter</t>
  </si>
  <si>
    <t>שוקו יטבתה 1 ליטר</t>
  </si>
  <si>
    <t>Yotvata chocolate milk 1 liter</t>
  </si>
  <si>
    <t>Yotvata-BigBottle_3029181</t>
  </si>
  <si>
    <t>Yotvata_Yotvata chocolate milk 1 liter_3029181</t>
  </si>
  <si>
    <t>****Yotvata_3029181</t>
  </si>
  <si>
    <t>Yotvata-SmallBottle_250 ml Banana Punch</t>
  </si>
  <si>
    <t>Yotvata-SmallBottle</t>
  </si>
  <si>
    <t>פונץ בננה 250 מל</t>
  </si>
  <si>
    <t>250 ml Banana Punch</t>
  </si>
  <si>
    <t>Yotvata-SmallBottle_7290105368959</t>
  </si>
  <si>
    <t>Yotvata_250 ml Banana Punch_7290105368959</t>
  </si>
  <si>
    <t>****Yotvata_7290105368959</t>
  </si>
  <si>
    <t>Yotvata-SmallBottle_Iced coffee milk drink 350 ml</t>
  </si>
  <si>
    <t>משקה חלב אייס קפה 350 מל</t>
  </si>
  <si>
    <t>Iced coffee milk drink 350 ml</t>
  </si>
  <si>
    <t>Yotvata-SmallBottle_7290011438142</t>
  </si>
  <si>
    <t>Yotvata_Iced coffee milk drink 350 ml_7290011438142</t>
  </si>
  <si>
    <t>****Yotvata_7290011438142</t>
  </si>
  <si>
    <t>Yotvata-SmallBottle_Mocha-flavored milk drink 350 ml</t>
  </si>
  <si>
    <t>משקה חלב בטעם מוקה 350 מ"ל</t>
  </si>
  <si>
    <t>Mocha-flavored milk drink 350 ml</t>
  </si>
  <si>
    <t>Yotvata-SmallBottle_7290112341112</t>
  </si>
  <si>
    <t>Yotvata_Mocha-flavored milk drink 350 ml_7290112341112</t>
  </si>
  <si>
    <t>****Yotvata_7290112341112</t>
  </si>
  <si>
    <t>Yotvata-SmallBottle_Personal chocolate jam 250 ml</t>
  </si>
  <si>
    <t>שוקו אישי פקק 250 מל</t>
  </si>
  <si>
    <t>Personal chocolate jam 250 ml</t>
  </si>
  <si>
    <t>Yotvata-SmallBottle_3029433</t>
  </si>
  <si>
    <t>Yotvata_Personal chocolate jam 250 ml_3029433</t>
  </si>
  <si>
    <t>****Yotvata_3029433</t>
  </si>
  <si>
    <t>Yotvata-SmallBottle_Yotvata chocolate 350 ml bottle</t>
  </si>
  <si>
    <t>שוקו יטבתה בקבוק 350 מל</t>
  </si>
  <si>
    <t>Yotvata chocolate 350 ml bottle</t>
  </si>
  <si>
    <t>Yotvata-SmallBottle_7290112342621</t>
  </si>
  <si>
    <t>Yotvata_Yotvata chocolate 350 ml bottle_7290112342621</t>
  </si>
  <si>
    <t>****Yotvata_7290112342621</t>
  </si>
  <si>
    <t>Hashef-Halavan_Tnuva Chef white cooking cream 15% 500 ml 56951</t>
  </si>
  <si>
    <t>תנובה, השף הלבן, שמנת לבישול 15% שומן 500 מל</t>
  </si>
  <si>
    <t>Tnuva Chef white cooking cream 15% 500 ml</t>
  </si>
  <si>
    <t>Cooking-Cream_56951</t>
  </si>
  <si>
    <t>Cottage-Tnuva_Cottage 3% cup 250g</t>
  </si>
  <si>
    <t>קוטג' תנובה 3% גביע 250 גרם</t>
  </si>
  <si>
    <t>Cottage 3% cup 250g</t>
  </si>
  <si>
    <t>Cottage-Tnuva_4127077</t>
  </si>
  <si>
    <t>no</t>
  </si>
  <si>
    <t>Yoplait_Yoplait yogurt peach %0 150 g</t>
  </si>
  <si>
    <t>יופלה דיאט אפרסק 0% גביע 150 גרם</t>
  </si>
  <si>
    <t>Yoplait yogurt peach %0 150 g</t>
  </si>
  <si>
    <t>Yoplait_4121488</t>
  </si>
  <si>
    <t>ChocoTnuvaBottle_Tnuva Choco bottle 1.8% 250 ml</t>
  </si>
  <si>
    <t>בקבוק שוקו תנובה 1.8% שומן 250 מל</t>
  </si>
  <si>
    <t>Tnuva Choco bottle 1.8% 250 ml</t>
  </si>
  <si>
    <t>ChocoTnuvaBottle_4126872</t>
  </si>
  <si>
    <t>Yoplait-Go_Yogurt Go natural 200 g</t>
  </si>
  <si>
    <t>Yoplait Go</t>
  </si>
  <si>
    <t>יוגורט גו טבעי 200 גרם</t>
  </si>
  <si>
    <t>Yogurt Go natural 200 g</t>
  </si>
  <si>
    <t>Go_7290110321031</t>
  </si>
  <si>
    <t>Yoplait-Go_Yogurt Go peach 200 g</t>
  </si>
  <si>
    <t>יוגורט גו עם אפרסק 200 גרם</t>
  </si>
  <si>
    <t>Yogurt Go peach 200 g</t>
  </si>
  <si>
    <t>Go_7290110321697</t>
  </si>
  <si>
    <t>Yoplait_Yoplait on top cornflakes</t>
  </si>
  <si>
    <t>יופלה און טופ קורנפלקס</t>
  </si>
  <si>
    <t>Yoplait on top cornflakes</t>
  </si>
  <si>
    <t>Yoplait_7290110326227</t>
  </si>
  <si>
    <t>Danone_Danone pro 20 g wild berries 0%</t>
  </si>
  <si>
    <t>דנונה פרו 20 גר פירות יער 0% שומן</t>
  </si>
  <si>
    <t>Danone pro 20 g wild berries 0%</t>
  </si>
  <si>
    <t>Danone_7290112330390</t>
  </si>
  <si>
    <t>יוגורט יופלה פירות יער בשמנת 3%</t>
  </si>
  <si>
    <t>Yoplait_4130916</t>
  </si>
  <si>
    <t>באדי</t>
  </si>
  <si>
    <t>Badi</t>
  </si>
  <si>
    <t>באדי יוגורט תות גביע 500 %3</t>
  </si>
  <si>
    <t>Badi_44880</t>
  </si>
  <si>
    <t>משקה חלב בטעם בננה 250 מל יטבתה</t>
  </si>
  <si>
    <t>Yotvata-SmallBottle_3029389</t>
  </si>
  <si>
    <t>גבינה לבנה 9% 250 גרם בדצ</t>
  </si>
  <si>
    <t>WhiteCreamTnuva_47942</t>
  </si>
  <si>
    <t>יופלה דיאט תות 0% בתחתית גביע 150גרם</t>
  </si>
  <si>
    <t>Yoplait_7290014760837</t>
  </si>
  <si>
    <t>דנונה פרו 20 גרם חלבון בטעם אפרסק 0% שומן</t>
  </si>
  <si>
    <t>Danone_7290101551539</t>
  </si>
  <si>
    <t xml:space="preserve">משקה חלב בטעם בננה
</t>
  </si>
  <si>
    <t>Yotvata-BigBottle_7290102398614</t>
  </si>
  <si>
    <t>מיני מילקי קייק במארז של 9 יחידות</t>
  </si>
  <si>
    <t>Milki_7290107957991</t>
  </si>
  <si>
    <t>משקה סויה ללא תוספת סוכר</t>
  </si>
  <si>
    <t>Alternative_7290110324926</t>
  </si>
  <si>
    <t>פיראוס צפתית 5% מעודנת 200 גרם</t>
  </si>
  <si>
    <t>Piraeus_4131814</t>
  </si>
  <si>
    <t>קוטג' תנובה גביע 250 גרם %9 ו.מהדרין</t>
  </si>
  <si>
    <t>Cottage-Tnuva_4127336</t>
  </si>
  <si>
    <t>קוטג' תנובה בקטנה 9%  100 גרם</t>
  </si>
  <si>
    <t>Cottage-Tnuva_7290110321284</t>
  </si>
  <si>
    <t>תנובה רויון לבן מחלב מפסוטר 1.5%</t>
  </si>
  <si>
    <t>Rivion_43890</t>
  </si>
  <si>
    <t>תנובה שמנת 15% חצי מנה 100 מל</t>
  </si>
  <si>
    <t>CreamTnuva_4125509</t>
  </si>
  <si>
    <t>משקה סויה טבעי במתיקות מופחתת 1 ל</t>
  </si>
  <si>
    <t>Alternative_4130794</t>
  </si>
  <si>
    <t>Oreo_Oreo cookies Milka 156 grams Sensation</t>
  </si>
  <si>
    <t>Oreo_Milka Oreo Chocolate Sandwich 92 grams</t>
  </si>
  <si>
    <t>Oreo_Milka Oreo milk chocolate 100g</t>
  </si>
  <si>
    <t>Illy_Illy Illy Espresso Forte Capsules 10 pcs 57 C.</t>
  </si>
  <si>
    <t>Illy</t>
  </si>
  <si>
    <t>Illy Illy Espresso Forte Capsules 10 pcs 57 C.</t>
  </si>
  <si>
    <t>Al-Nakhla_Al Nakhla coffee with cardamom 250g</t>
  </si>
  <si>
    <t>אל נח'לה</t>
  </si>
  <si>
    <t>Al Nakhla</t>
  </si>
  <si>
    <t>BeanZ_BeanZ cold milky coffee can of 250ml</t>
  </si>
  <si>
    <t>BeanZ</t>
  </si>
  <si>
    <t>BeanZ_BeanZ iced coffee without milk and sugar in a can of 250 "</t>
  </si>
  <si>
    <t>BeanZ_Iced coffee with a little sweetness BeanZ can of 250ml</t>
  </si>
  <si>
    <t>Beasley Bamba Mix 18 x 200 g</t>
  </si>
  <si>
    <t>Beasley onion 190 g</t>
  </si>
  <si>
    <t>Beasley onion 70 g</t>
  </si>
  <si>
    <t>Beasley Barbecue 190 g</t>
  </si>
  <si>
    <t>Beasley barbecue 70 g</t>
  </si>
  <si>
    <t>Beasley Grill 200g</t>
  </si>
  <si>
    <t>Beasley Grill 70 g</t>
  </si>
  <si>
    <t>Beasley Party Mix 24 * 150 g</t>
  </si>
  <si>
    <t>Beasley Pizza 200g</t>
  </si>
  <si>
    <t>Beasley pizza 70 g</t>
  </si>
  <si>
    <t>Beasley falafel 200g</t>
  </si>
  <si>
    <t>Beasley falafel 70 g</t>
  </si>
  <si>
    <t>Jacobs_Coffee Giiikobs Corning 47.5 g</t>
  </si>
  <si>
    <t>Prili strawberry cup 500 g</t>
  </si>
  <si>
    <t>Wissotzky_Green tea with mint 25 S.</t>
  </si>
  <si>
    <t>Wissotzky_Green tea + lemon. And Louisa</t>
  </si>
  <si>
    <t>Wissotzky_Classic tea envelopes Vysotsky 25 units</t>
  </si>
  <si>
    <t>Baflot_Abortion tortillas</t>
  </si>
  <si>
    <t>tempo_327624</t>
  </si>
  <si>
    <t>Tester's-Choice_Tstr's Choice instant coffee 200g</t>
  </si>
  <si>
    <t>Tester's Choice</t>
  </si>
  <si>
    <t>lotus_Lotus biscuits packed in pairs 124 g</t>
  </si>
  <si>
    <t>lotus</t>
  </si>
  <si>
    <t>Landwer_Landwer 10 writers espresso capsules</t>
  </si>
  <si>
    <t>Landwer</t>
  </si>
  <si>
    <t>Landwer_Landwer Espresso Classic 09 Capsules</t>
  </si>
  <si>
    <t>Maccabi Beer 330 m 7.9%</t>
  </si>
  <si>
    <t>Maccabee_8464208</t>
  </si>
  <si>
    <t>Maccabi beer bottle, 330 ml</t>
  </si>
  <si>
    <t>Maccabee_8464338</t>
  </si>
  <si>
    <t>Maccabi Beer 7.9% tin, 500 ml</t>
  </si>
  <si>
    <t>Maccabee_8464222</t>
  </si>
  <si>
    <t>Maccabi can of beer, 500 ml</t>
  </si>
  <si>
    <t>Maccabee_8464475</t>
  </si>
  <si>
    <t>Sugat_White sugar 1kg jar</t>
  </si>
  <si>
    <t>Sugat</t>
  </si>
  <si>
    <t>Stax Tube smoked barbecue 155.9 g</t>
  </si>
  <si>
    <t>Stax Classic 155.9 g Tube</t>
  </si>
  <si>
    <t>Stax Tube sour cream and onion 155.9 g</t>
  </si>
  <si>
    <t>Snickers_Snickers chocolate bag 170 g</t>
  </si>
  <si>
    <t>Elite_Lemon abortion - long wafers and lemon</t>
  </si>
  <si>
    <t>Elite</t>
  </si>
  <si>
    <t>Elite_Abortion - long wafers and chocolate</t>
  </si>
  <si>
    <t>Elite_Abortion chocolate 500g</t>
  </si>
  <si>
    <t>Elite_Abortion Truffles Market + 350 crumbs</t>
  </si>
  <si>
    <t>Elite_Afifiot</t>
  </si>
  <si>
    <t>Elite_Milk chocolate biscuit 200.00 g</t>
  </si>
  <si>
    <t>Elite_Dark until midnight 200.00 g</t>
  </si>
  <si>
    <t>Elite_Les candy Strawberry Blueberry 80 g</t>
  </si>
  <si>
    <t>Elite_Les lemon candies Elite 80 grams</t>
  </si>
  <si>
    <t>Elite_Les candy cappuccino Elite 80 g</t>
  </si>
  <si>
    <t>Elite_Elite Les butterscotch candy 80 g</t>
  </si>
  <si>
    <t>Elite_Elite Candy Raspberry Lemon 80 g</t>
  </si>
  <si>
    <t>Elite_Rich Chocolate Brownies</t>
  </si>
  <si>
    <t>Elite_Crunch chocolate cake yeast</t>
  </si>
  <si>
    <t>Elite_Egozi cake</t>
  </si>
  <si>
    <t>Elite_Chocolite Tinned Elite 500 g</t>
  </si>
  <si>
    <t>Pesek-Zman_Pinocchio with cream and nuts timeout</t>
  </si>
  <si>
    <t>Fry_Fry nut milk chocolate 180 g</t>
  </si>
  <si>
    <t>Fry</t>
  </si>
  <si>
    <t>Fry_Fry chocolate with pieces of nuts 100g</t>
  </si>
  <si>
    <t>Fry_Fry dark chocolate 78% 100 g</t>
  </si>
  <si>
    <t>Fry_Fry orange dark chocolate 100g</t>
  </si>
  <si>
    <t>Prichiot-Extra_Snacks Friconim from 80 grams</t>
  </si>
  <si>
    <t>פריכוני אורז</t>
  </si>
  <si>
    <t>Prichiot-Extra_Friconim sweetened with honey 80 grams</t>
  </si>
  <si>
    <t>Prichiot-Extra_Friconim roasted brown rice 80 grams</t>
  </si>
  <si>
    <t>Prichiot-Extra_Friconim rice, 140 grams</t>
  </si>
  <si>
    <t>פריכיות</t>
  </si>
  <si>
    <t>Prichiot-Patit_Rice cakes coated with milk chocolate and chips 39</t>
  </si>
  <si>
    <t>פתית</t>
  </si>
  <si>
    <t>ציפס אורז</t>
  </si>
  <si>
    <t>Cottage_Cottage 5% 250g</t>
  </si>
  <si>
    <t>קוטג'</t>
  </si>
  <si>
    <t>Cottage</t>
  </si>
  <si>
    <t>Cottage_Tnuva cottage Cup 250 grams of 5% and .mhdrin</t>
  </si>
  <si>
    <t>Elite-coffee_Turkish Coffee 200g cellophane</t>
  </si>
  <si>
    <t>Elite coffee</t>
  </si>
  <si>
    <t>Elite-coffee_Instant coffee 200g</t>
  </si>
  <si>
    <t>Elite-coffee_Elite instant coffee 100g</t>
  </si>
  <si>
    <t>Elite-coffee_Capsules Indonesia</t>
  </si>
  <si>
    <t>Elite-coffee_Brazil Espresso capsules 10 pcs * 5 g</t>
  </si>
  <si>
    <t>Elite-coffee_Classico ILLY espresso capsules 10 pcs 57 g</t>
  </si>
  <si>
    <t>Elite-coffee_10 Hail Columbia Capsules 5 g</t>
  </si>
  <si>
    <t>Elite-coffee_Espresso coffee capsules 10</t>
  </si>
  <si>
    <t>Elite-coffee_Case Turkey via</t>
  </si>
  <si>
    <t>Elite-coffee_Turkish Coffee 100g cellophane</t>
  </si>
  <si>
    <t>Elite-coffee_7290000176062</t>
  </si>
  <si>
    <t>Carlsberg_8909761</t>
  </si>
  <si>
    <t>Carlsberg_1594568</t>
  </si>
  <si>
    <t>Cracker_Cream Cracker barn. 250 grams</t>
  </si>
  <si>
    <t>Cracker</t>
  </si>
  <si>
    <t>Cracker_Cracker gold, 150 g</t>
  </si>
  <si>
    <t>Cracker_Barn sesame cracker 250g</t>
  </si>
  <si>
    <t>Para-Chocolate_8750400</t>
  </si>
  <si>
    <t>Shape</t>
  </si>
  <si>
    <t>5906485301012</t>
  </si>
  <si>
    <t>5902198160403</t>
  </si>
  <si>
    <t>7290000135045</t>
  </si>
  <si>
    <t>7290000135052</t>
  </si>
  <si>
    <t>7290000135113</t>
  </si>
  <si>
    <t>72917329</t>
  </si>
  <si>
    <t>7622210835338</t>
  </si>
  <si>
    <t>7622210829085</t>
  </si>
  <si>
    <t>7622210874351</t>
  </si>
  <si>
    <t>7622210637994</t>
  </si>
  <si>
    <t>7622210638021</t>
  </si>
  <si>
    <t>7622300761363</t>
  </si>
  <si>
    <t>7622210829108</t>
  </si>
  <si>
    <t>7622010001858</t>
  </si>
  <si>
    <t>7622201401900</t>
  </si>
  <si>
    <t>7622201127398</t>
  </si>
  <si>
    <t>7622201127367</t>
  </si>
  <si>
    <t>7622210826053</t>
  </si>
  <si>
    <t>7622300617820</t>
  </si>
  <si>
    <t>839762002386</t>
  </si>
  <si>
    <t>839762002379</t>
  </si>
  <si>
    <t>839762000658</t>
  </si>
  <si>
    <t>839762000641</t>
  </si>
  <si>
    <t>8003753158587</t>
  </si>
  <si>
    <t>7290002771111</t>
  </si>
  <si>
    <t>7290107947497</t>
  </si>
  <si>
    <t>7290106527386</t>
  </si>
  <si>
    <t>7290107947503</t>
  </si>
  <si>
    <t>7290110565930</t>
  </si>
  <si>
    <t>8410793282934</t>
  </si>
  <si>
    <t>7290008775816</t>
  </si>
  <si>
    <t>7290008775823</t>
  </si>
  <si>
    <t>7290000077017</t>
  </si>
  <si>
    <t>7290000074962</t>
  </si>
  <si>
    <t>7290000075143</t>
  </si>
  <si>
    <t>63133</t>
  </si>
  <si>
    <t>7290000066349</t>
  </si>
  <si>
    <t>7290000066332</t>
  </si>
  <si>
    <t>7290104500572</t>
  </si>
  <si>
    <t>7290106576223</t>
  </si>
  <si>
    <t>7290013038432</t>
  </si>
  <si>
    <t>2</t>
  </si>
  <si>
    <t>613008753382</t>
  </si>
  <si>
    <t>613008753290</t>
  </si>
  <si>
    <t>613008753320</t>
  </si>
  <si>
    <t>613008742409</t>
  </si>
  <si>
    <t>613008742348</t>
  </si>
  <si>
    <t>5410228267508</t>
  </si>
  <si>
    <t>5014379009972</t>
  </si>
  <si>
    <t>40111216</t>
  </si>
  <si>
    <t>7290102035007</t>
  </si>
  <si>
    <t>602652258244</t>
  </si>
  <si>
    <t>5000159528320</t>
  </si>
  <si>
    <t>602652257834</t>
  </si>
  <si>
    <t>7290112966025</t>
  </si>
  <si>
    <t>7290000071008</t>
  </si>
  <si>
    <t>7290000076126</t>
  </si>
  <si>
    <t>7290000076133</t>
  </si>
  <si>
    <t>7290106574977</t>
  </si>
  <si>
    <t>7290112358752</t>
  </si>
  <si>
    <t>7290112347718</t>
  </si>
  <si>
    <t>7290112347725</t>
  </si>
  <si>
    <t>7290111564956</t>
  </si>
  <si>
    <t>7290000066202</t>
  </si>
  <si>
    <t>7290000066158</t>
  </si>
  <si>
    <t>7290000066219</t>
  </si>
  <si>
    <t>7290000066165</t>
  </si>
  <si>
    <t>7290000066196</t>
  </si>
  <si>
    <t>7290000066141</t>
  </si>
  <si>
    <t>7290111568206</t>
  </si>
  <si>
    <t>7290000066226</t>
  </si>
  <si>
    <t>7290000066172</t>
  </si>
  <si>
    <t>7290000066189</t>
  </si>
  <si>
    <t>7290000066134</t>
  </si>
  <si>
    <t>5904941751524</t>
  </si>
  <si>
    <t>5904941751920</t>
  </si>
  <si>
    <t>5904941750312</t>
  </si>
  <si>
    <t>5904941751302</t>
  </si>
  <si>
    <t>753182231761</t>
  </si>
  <si>
    <t>5904941752262</t>
  </si>
  <si>
    <t>5904941751241</t>
  </si>
  <si>
    <t>5060639128051</t>
  </si>
  <si>
    <t>7290000066318</t>
  </si>
  <si>
    <t>7290000068770</t>
  </si>
  <si>
    <t>7290111565656</t>
  </si>
  <si>
    <t>7290112966582</t>
  </si>
  <si>
    <t>7290104508943</t>
  </si>
  <si>
    <t>7290112334879</t>
  </si>
  <si>
    <t>42061939</t>
  </si>
  <si>
    <t>7290006855039</t>
  </si>
  <si>
    <t>7290006855046</t>
  </si>
  <si>
    <t>7290006855008</t>
  </si>
  <si>
    <t>7290006855015</t>
  </si>
  <si>
    <t>7610113011652</t>
  </si>
  <si>
    <t>5010677554398</t>
  </si>
  <si>
    <t>5010677552387</t>
  </si>
  <si>
    <t>7290008464963</t>
  </si>
  <si>
    <t>7290008464895</t>
  </si>
  <si>
    <t>7501013101393</t>
  </si>
  <si>
    <t>7501013101355</t>
  </si>
  <si>
    <t>7501013101348</t>
  </si>
  <si>
    <t>7501013122114</t>
  </si>
  <si>
    <t>7501013122053</t>
  </si>
  <si>
    <t>7501013122039</t>
  </si>
  <si>
    <t>7501013122992</t>
  </si>
  <si>
    <t>8690504033431</t>
  </si>
  <si>
    <t>8690504153856</t>
  </si>
  <si>
    <t>8690504033448</t>
  </si>
  <si>
    <t>8690504153764</t>
  </si>
  <si>
    <t>7290008464345</t>
  </si>
  <si>
    <t>7290008464109</t>
  </si>
  <si>
    <t>7290008464468</t>
  </si>
  <si>
    <t>7290008464024</t>
  </si>
  <si>
    <t>7501013101362</t>
  </si>
  <si>
    <t>4122195</t>
  </si>
  <si>
    <t>8001160001786</t>
  </si>
  <si>
    <t>8001160001892</t>
  </si>
  <si>
    <t>8714599513828</t>
  </si>
  <si>
    <t>4125417</t>
  </si>
  <si>
    <t>7290000066264</t>
  </si>
  <si>
    <t>7290006653857</t>
  </si>
  <si>
    <t>7290106528628</t>
  </si>
  <si>
    <t>7290100850930</t>
  </si>
  <si>
    <t>7290106528567</t>
  </si>
  <si>
    <t>7290100850923</t>
  </si>
  <si>
    <t>7290106667266</t>
  </si>
  <si>
    <t>7290100850916</t>
  </si>
  <si>
    <t>7290010117864</t>
  </si>
  <si>
    <t>7290112330352</t>
  </si>
  <si>
    <t>408354</t>
  </si>
  <si>
    <t>3321155</t>
  </si>
  <si>
    <t>7290110566975</t>
  </si>
  <si>
    <t>408316</t>
  </si>
  <si>
    <t>4584528</t>
  </si>
  <si>
    <t>7290110565527</t>
  </si>
  <si>
    <t>7290110568276</t>
  </si>
  <si>
    <t>7290105965738</t>
  </si>
  <si>
    <t>7290112346698</t>
  </si>
  <si>
    <t>5838002</t>
  </si>
  <si>
    <t>7290014761056</t>
  </si>
  <si>
    <t>7290014761063</t>
  </si>
  <si>
    <t>44712</t>
  </si>
  <si>
    <t>7290008166775</t>
  </si>
  <si>
    <t>7290004532581</t>
  </si>
  <si>
    <t>7290004532130</t>
  </si>
  <si>
    <t>7290004532062</t>
  </si>
  <si>
    <t>7290004532574</t>
  </si>
  <si>
    <t>7290004532123</t>
  </si>
  <si>
    <t>7290000148380</t>
  </si>
  <si>
    <t>7290004532086</t>
  </si>
  <si>
    <t>7290004532161</t>
  </si>
  <si>
    <t>7290014241589</t>
  </si>
  <si>
    <t>7290004532369</t>
  </si>
  <si>
    <t>7290008166010</t>
  </si>
  <si>
    <t>7290010237685</t>
  </si>
  <si>
    <t>7290008464604</t>
  </si>
  <si>
    <t>8712000050146</t>
  </si>
  <si>
    <t>80176732</t>
  </si>
  <si>
    <t>43814</t>
  </si>
  <si>
    <t>8690526019178</t>
  </si>
  <si>
    <t>8690526019154</t>
  </si>
  <si>
    <t>8690526009179</t>
  </si>
  <si>
    <t>8690526009292</t>
  </si>
  <si>
    <t>8690526009216</t>
  </si>
  <si>
    <t>8690526009315</t>
  </si>
  <si>
    <t>8690526009339</t>
  </si>
  <si>
    <t>7610046000822</t>
  </si>
  <si>
    <t>7610046000808</t>
  </si>
  <si>
    <t>4014400914696</t>
  </si>
  <si>
    <t>4014400925319</t>
  </si>
  <si>
    <t>7290000347738</t>
  </si>
  <si>
    <t>7290000347752</t>
  </si>
  <si>
    <t>7290000345260</t>
  </si>
  <si>
    <t>7290013586285</t>
  </si>
  <si>
    <t>7290013585899</t>
  </si>
  <si>
    <t>7290001594520</t>
  </si>
  <si>
    <t>7290001594575</t>
  </si>
  <si>
    <t>72918388</t>
  </si>
  <si>
    <t>5000159459228</t>
  </si>
  <si>
    <t>7290106656512</t>
  </si>
  <si>
    <t>7290107943048</t>
  </si>
  <si>
    <t>7290112349255</t>
  </si>
  <si>
    <t>7290112346537</t>
  </si>
  <si>
    <t>7290106658479</t>
  </si>
  <si>
    <t>9310072028743</t>
  </si>
  <si>
    <t>9310072028750</t>
  </si>
  <si>
    <t>80050124</t>
  </si>
  <si>
    <t>80050025</t>
  </si>
  <si>
    <t>7290008464611</t>
  </si>
  <si>
    <t>7290000135151</t>
  </si>
  <si>
    <t>7290000327624</t>
  </si>
  <si>
    <t>7290000072753</t>
  </si>
  <si>
    <t>72917367</t>
  </si>
  <si>
    <t>7290107945332</t>
  </si>
  <si>
    <t>8907931003600</t>
  </si>
  <si>
    <t>7290110326999</t>
  </si>
  <si>
    <t>7501013101447</t>
  </si>
  <si>
    <t>7290110323066</t>
  </si>
  <si>
    <t>7290110323073</t>
  </si>
  <si>
    <t>7290110321703</t>
  </si>
  <si>
    <t>7290110321680</t>
  </si>
  <si>
    <t>40080</t>
  </si>
  <si>
    <t>40042</t>
  </si>
  <si>
    <t>7290110326241</t>
  </si>
  <si>
    <t>7290110326234</t>
  </si>
  <si>
    <t>7290110326210</t>
  </si>
  <si>
    <t>7290110324636</t>
  </si>
  <si>
    <t>7290110324612</t>
  </si>
  <si>
    <t>55336</t>
  </si>
  <si>
    <t>55329</t>
  </si>
  <si>
    <t>42855</t>
  </si>
  <si>
    <t>41858</t>
  </si>
  <si>
    <t>7290014763678</t>
  </si>
  <si>
    <t>7290110563448</t>
  </si>
  <si>
    <t>7290110563431</t>
  </si>
  <si>
    <t>7290110564742</t>
  </si>
  <si>
    <t>7290107933315</t>
  </si>
  <si>
    <t>7290107932134</t>
  </si>
  <si>
    <t>7290107932080</t>
  </si>
  <si>
    <t>7290110565497</t>
  </si>
  <si>
    <t>7290112343420</t>
  </si>
  <si>
    <t>7290107951395</t>
  </si>
  <si>
    <t>7290107951401</t>
  </si>
  <si>
    <t>7290107954976</t>
  </si>
  <si>
    <t>7290112330987</t>
  </si>
  <si>
    <t>7290112330970</t>
  </si>
  <si>
    <t>7290107933643</t>
  </si>
  <si>
    <t>7290107933650</t>
  </si>
  <si>
    <t>3029907</t>
  </si>
  <si>
    <t>3029532</t>
  </si>
  <si>
    <t>3029181</t>
  </si>
  <si>
    <t>7290011438142</t>
  </si>
  <si>
    <t>7290112341112</t>
  </si>
  <si>
    <t>7290105368959</t>
  </si>
  <si>
    <t>3029433</t>
  </si>
  <si>
    <t>7290112342621</t>
  </si>
  <si>
    <t>7290000171470</t>
  </si>
  <si>
    <t>7290105361707</t>
  </si>
  <si>
    <t>7290105364302</t>
  </si>
  <si>
    <t>7290112347626</t>
  </si>
  <si>
    <t>7290107931397</t>
  </si>
  <si>
    <t>7290000110851</t>
  </si>
  <si>
    <t>7290000110844</t>
  </si>
  <si>
    <t>7290002022152</t>
  </si>
  <si>
    <t>8000380003761</t>
  </si>
  <si>
    <t>8000380153442</t>
  </si>
  <si>
    <t>8000380007219</t>
  </si>
  <si>
    <t>8000380153466</t>
  </si>
  <si>
    <t>8000380007257</t>
  </si>
  <si>
    <t>8000380003723</t>
  </si>
  <si>
    <t>8000380004676</t>
  </si>
  <si>
    <t>8000380180745</t>
  </si>
  <si>
    <t>8000380004966</t>
  </si>
  <si>
    <t>8000380004911</t>
  </si>
  <si>
    <t>80001485</t>
  </si>
  <si>
    <t>80001461</t>
  </si>
  <si>
    <t>80001027</t>
  </si>
  <si>
    <t>8000380187119</t>
  </si>
  <si>
    <t>8000380187300</t>
  </si>
  <si>
    <t>8000380187249</t>
  </si>
  <si>
    <t>5410126006339</t>
  </si>
  <si>
    <t>7290000074481</t>
  </si>
  <si>
    <t>7290000075204</t>
  </si>
  <si>
    <t>7290000077253</t>
  </si>
  <si>
    <t>7290006983176</t>
  </si>
  <si>
    <t>7290014066380</t>
  </si>
  <si>
    <t>7290014066373</t>
  </si>
  <si>
    <t>7290008750264</t>
  </si>
  <si>
    <t>7290104068539</t>
  </si>
  <si>
    <t>7290008754415</t>
  </si>
  <si>
    <t>7290008754422</t>
  </si>
  <si>
    <t>77245110610</t>
  </si>
  <si>
    <t>4710068001715</t>
  </si>
  <si>
    <t>4710068001692</t>
  </si>
  <si>
    <t>4710068002798</t>
  </si>
  <si>
    <t>4710068001739</t>
  </si>
  <si>
    <t>5060517886486</t>
  </si>
  <si>
    <t>5060517886516</t>
  </si>
  <si>
    <t>5060517886547</t>
  </si>
  <si>
    <t>5060639129102</t>
  </si>
  <si>
    <t>7290000688084</t>
  </si>
  <si>
    <t>7290000688114</t>
  </si>
  <si>
    <t>7290017888972</t>
  </si>
  <si>
    <t>70970473562</t>
  </si>
  <si>
    <t>70970471254</t>
  </si>
  <si>
    <t>7622201809188</t>
  </si>
  <si>
    <t>7622201137052</t>
  </si>
  <si>
    <t>7622300356767</t>
  </si>
  <si>
    <t>4025700001023</t>
  </si>
  <si>
    <t>7290106663121</t>
  </si>
  <si>
    <t>5839313</t>
  </si>
  <si>
    <t>72940761</t>
  </si>
  <si>
    <t>7290104066016</t>
  </si>
  <si>
    <t>7290006764782</t>
  </si>
  <si>
    <t>7290006764768</t>
  </si>
  <si>
    <t>7290010237562</t>
  </si>
  <si>
    <t>433745</t>
  </si>
  <si>
    <t>7290008464208</t>
  </si>
  <si>
    <t>7290008464338</t>
  </si>
  <si>
    <t>7290008464222</t>
  </si>
  <si>
    <t>7290008464475</t>
  </si>
  <si>
    <t>7290012921032</t>
  </si>
  <si>
    <t>7290012921025</t>
  </si>
  <si>
    <t>7290100680650</t>
  </si>
  <si>
    <t>73750</t>
  </si>
  <si>
    <t>7290112969538</t>
  </si>
  <si>
    <t>7290112969965</t>
  </si>
  <si>
    <t>67599</t>
  </si>
  <si>
    <t>65557</t>
  </si>
  <si>
    <t>87311396</t>
  </si>
  <si>
    <t>80854753</t>
  </si>
  <si>
    <t>80831402</t>
  </si>
  <si>
    <t>7290002752349</t>
  </si>
  <si>
    <t>7290002752332</t>
  </si>
  <si>
    <t>72917589</t>
  </si>
  <si>
    <t>8710502231018</t>
  </si>
  <si>
    <t>46214731552</t>
  </si>
  <si>
    <t>5000159407236</t>
  </si>
  <si>
    <t>8690120060170</t>
  </si>
  <si>
    <t>7290002331025</t>
  </si>
  <si>
    <t>7290002331018</t>
  </si>
  <si>
    <t>7290002331162</t>
  </si>
  <si>
    <t>7290002331490</t>
  </si>
  <si>
    <t>7290002331155</t>
  </si>
  <si>
    <t>7290002331124</t>
  </si>
  <si>
    <t>7290002331711</t>
  </si>
  <si>
    <t>7290015493192</t>
  </si>
  <si>
    <t>7290015493208</t>
  </si>
  <si>
    <t>7290002331179</t>
  </si>
  <si>
    <t>7290002331117</t>
  </si>
  <si>
    <t>7290002331148</t>
  </si>
  <si>
    <t>8000500227848</t>
  </si>
  <si>
    <t>7290106662964</t>
  </si>
  <si>
    <t>7290100247815</t>
  </si>
  <si>
    <t>7290100247822</t>
  </si>
  <si>
    <t>7290100247808</t>
  </si>
  <si>
    <t>7290112497291</t>
  </si>
  <si>
    <t>7290112497284</t>
  </si>
  <si>
    <t>7290100247839</t>
  </si>
  <si>
    <t>8005200486526</t>
  </si>
  <si>
    <t>8005200496525</t>
  </si>
  <si>
    <t>4129118</t>
  </si>
  <si>
    <t>4129156</t>
  </si>
  <si>
    <t>4129101</t>
  </si>
  <si>
    <t>7290112358011</t>
  </si>
  <si>
    <t>7290011308858</t>
  </si>
  <si>
    <t>7290112497932</t>
  </si>
  <si>
    <t>7290006764478</t>
  </si>
  <si>
    <t>7290010237623</t>
  </si>
  <si>
    <t>7290008464505</t>
  </si>
  <si>
    <t>8850389104637</t>
  </si>
  <si>
    <t>8850389115312</t>
  </si>
  <si>
    <t>8850389103111</t>
  </si>
  <si>
    <t>8850389103128</t>
  </si>
  <si>
    <t>8850389105849</t>
  </si>
  <si>
    <t>8850389105832</t>
  </si>
  <si>
    <t>8850389115336</t>
  </si>
  <si>
    <t>8850389105825</t>
  </si>
  <si>
    <t>7290010117970</t>
  </si>
  <si>
    <t>7290106653504</t>
  </si>
  <si>
    <t>7290010237579</t>
  </si>
  <si>
    <t>433714</t>
  </si>
  <si>
    <t>7290003643387</t>
  </si>
  <si>
    <t>7500162900000</t>
  </si>
  <si>
    <t>7290011018474</t>
  </si>
  <si>
    <t>28400055109</t>
  </si>
  <si>
    <t>28400055093</t>
  </si>
  <si>
    <t>28400055154</t>
  </si>
  <si>
    <t>7290002542773</t>
  </si>
  <si>
    <t>5410228217732</t>
  </si>
  <si>
    <t>5035766044673</t>
  </si>
  <si>
    <t>7290000336282</t>
  </si>
  <si>
    <t>5839108</t>
  </si>
  <si>
    <t>4584351</t>
  </si>
  <si>
    <t>5410316983693</t>
  </si>
  <si>
    <t>8001620015612</t>
  </si>
  <si>
    <t>8001620015636</t>
  </si>
  <si>
    <t>8002270846472</t>
  </si>
  <si>
    <t>77975099919</t>
  </si>
  <si>
    <t>77975099933</t>
  </si>
  <si>
    <t>77975088227</t>
  </si>
  <si>
    <t>77975094761</t>
  </si>
  <si>
    <t>77975094006</t>
  </si>
  <si>
    <t>77975094624</t>
  </si>
  <si>
    <t>77975094631</t>
  </si>
  <si>
    <t>77975091975</t>
  </si>
  <si>
    <t>5000159473866</t>
  </si>
  <si>
    <t>5000159461122</t>
  </si>
  <si>
    <t>7290112344007</t>
  </si>
  <si>
    <t>7290112344793</t>
  </si>
  <si>
    <t>7290105961525</t>
  </si>
  <si>
    <t>7290013585257</t>
  </si>
  <si>
    <t>7290013585233</t>
  </si>
  <si>
    <t>7290013585240</t>
  </si>
  <si>
    <t>7290110110635</t>
  </si>
  <si>
    <t>7290110110659</t>
  </si>
  <si>
    <t>7290110110611</t>
  </si>
  <si>
    <t>7290005564253</t>
  </si>
  <si>
    <t>7290003608089</t>
  </si>
  <si>
    <t>7290016006773</t>
  </si>
  <si>
    <t>7290016006759</t>
  </si>
  <si>
    <t>2824640</t>
  </si>
  <si>
    <t>5000159376792</t>
  </si>
  <si>
    <t>5000159376655</t>
  </si>
  <si>
    <t>856591000062</t>
  </si>
  <si>
    <t>856591000109</t>
  </si>
  <si>
    <t>7290002132011</t>
  </si>
  <si>
    <t>5431128</t>
  </si>
  <si>
    <t>5431999</t>
  </si>
  <si>
    <t>7290018194683</t>
  </si>
  <si>
    <t>7290107951111</t>
  </si>
  <si>
    <t>7290107951104</t>
  </si>
  <si>
    <t>7290000174099</t>
  </si>
  <si>
    <t>7290008753883</t>
  </si>
  <si>
    <t>7290107944243</t>
  </si>
  <si>
    <t>7290000181103</t>
  </si>
  <si>
    <t>7290005199622</t>
  </si>
  <si>
    <t>7290112336637</t>
  </si>
  <si>
    <t>7290112336644</t>
  </si>
  <si>
    <t>7290112337481</t>
  </si>
  <si>
    <t>7290112336651</t>
  </si>
  <si>
    <t>7290112337474</t>
  </si>
  <si>
    <t>7290100853689</t>
  </si>
  <si>
    <t>7290112345332</t>
  </si>
  <si>
    <t>7290110564513</t>
  </si>
  <si>
    <t>7290000174723</t>
  </si>
  <si>
    <t>7290110111564</t>
  </si>
  <si>
    <t>7290110111557</t>
  </si>
  <si>
    <t>7290011018443</t>
  </si>
  <si>
    <t>7290005605895</t>
  </si>
  <si>
    <t>7290001594179</t>
  </si>
  <si>
    <t>7290003667109</t>
  </si>
  <si>
    <t>7290005605901</t>
  </si>
  <si>
    <t>7290000066431</t>
  </si>
  <si>
    <t>7290106656260</t>
  </si>
  <si>
    <t>9044400841000</t>
  </si>
  <si>
    <t>7290110113490</t>
  </si>
  <si>
    <t>7290110110765</t>
  </si>
  <si>
    <t>7290110112141</t>
  </si>
  <si>
    <t>7290011018191</t>
  </si>
  <si>
    <t>7290011018184</t>
  </si>
  <si>
    <t>7290011018214</t>
  </si>
  <si>
    <t>7290110113483</t>
  </si>
  <si>
    <t>7290011018283</t>
  </si>
  <si>
    <t>7290011018306</t>
  </si>
  <si>
    <t>7290011018252</t>
  </si>
  <si>
    <t>7290011018580</t>
  </si>
  <si>
    <t>7290112965660</t>
  </si>
  <si>
    <t>7290112965684</t>
  </si>
  <si>
    <t>7290112965707</t>
  </si>
  <si>
    <t>4120566</t>
  </si>
  <si>
    <t>4120573</t>
  </si>
  <si>
    <t>4120634</t>
  </si>
  <si>
    <t>48437</t>
  </si>
  <si>
    <t>4137809</t>
  </si>
  <si>
    <t>5201044009706</t>
  </si>
  <si>
    <t>7290018440193</t>
  </si>
  <si>
    <t>7290018440209</t>
  </si>
  <si>
    <t>7290017513775</t>
  </si>
  <si>
    <t>7290107954457</t>
  </si>
  <si>
    <t>7290112349262</t>
  </si>
  <si>
    <t>72992357</t>
  </si>
  <si>
    <t>72917893</t>
  </si>
  <si>
    <t>72994061</t>
  </si>
  <si>
    <t>7290112358004</t>
  </si>
  <si>
    <t>7290112348234</t>
  </si>
  <si>
    <t>7290112350350</t>
  </si>
  <si>
    <t>7290112332691</t>
  </si>
  <si>
    <t>7290010237548</t>
  </si>
  <si>
    <t>7290000135175</t>
  </si>
  <si>
    <t>7290008464406</t>
  </si>
  <si>
    <t>7290000433974</t>
  </si>
  <si>
    <t>7290000433684</t>
  </si>
  <si>
    <t>7290010237531</t>
  </si>
  <si>
    <t>7290014791879</t>
  </si>
  <si>
    <t>7290014791848</t>
  </si>
  <si>
    <t>7290014791817</t>
  </si>
  <si>
    <t>7290014791787</t>
  </si>
  <si>
    <t>7290014791800</t>
  </si>
  <si>
    <t>7290017888644</t>
  </si>
  <si>
    <t>7290017888026</t>
  </si>
  <si>
    <t>7290017888033</t>
  </si>
  <si>
    <t>7290017888019</t>
  </si>
  <si>
    <t>45917</t>
  </si>
  <si>
    <t>7290013585684</t>
  </si>
  <si>
    <t>7290013585653</t>
  </si>
  <si>
    <t>7290013585677</t>
  </si>
  <si>
    <t>7290011015374</t>
  </si>
  <si>
    <t>7290000377612</t>
  </si>
  <si>
    <t>7290013153432</t>
  </si>
  <si>
    <t>7290001594384</t>
  </si>
  <si>
    <t>7290110110475</t>
  </si>
  <si>
    <t>7290110110468</t>
  </si>
  <si>
    <t>7290001594377</t>
  </si>
  <si>
    <t>7290002871477</t>
  </si>
  <si>
    <t>7290005604133</t>
  </si>
  <si>
    <t>7290002871446</t>
  </si>
  <si>
    <t>7290003667369</t>
  </si>
  <si>
    <t>7290002871460</t>
  </si>
  <si>
    <t>7290004423353</t>
  </si>
  <si>
    <t>7290001594391</t>
  </si>
  <si>
    <t>7616500647251</t>
  </si>
  <si>
    <t>7616500646087</t>
  </si>
  <si>
    <t>7616500553484</t>
  </si>
  <si>
    <t>7616500553460</t>
  </si>
  <si>
    <t>3179730011024</t>
  </si>
  <si>
    <t>7613036280327</t>
  </si>
  <si>
    <t>7613036286008</t>
  </si>
  <si>
    <t>7290006984647</t>
  </si>
  <si>
    <t>7290000078762</t>
  </si>
  <si>
    <t>2043126</t>
  </si>
  <si>
    <t>2043072</t>
  </si>
  <si>
    <t>2043096</t>
  </si>
  <si>
    <t>2043065</t>
  </si>
  <si>
    <t>2043812</t>
  </si>
  <si>
    <t>2043034</t>
  </si>
  <si>
    <t>2043058</t>
  </si>
  <si>
    <t>7290000060071</t>
  </si>
  <si>
    <t>7290000068343</t>
  </si>
  <si>
    <t>7290107933117</t>
  </si>
  <si>
    <t>7290107933100</t>
  </si>
  <si>
    <t>7290107953917</t>
  </si>
  <si>
    <t>7290105968777</t>
  </si>
  <si>
    <t>7290106526822</t>
  </si>
  <si>
    <t>7290112495983</t>
  </si>
  <si>
    <t>7290001045633</t>
  </si>
  <si>
    <t>7290001045688</t>
  </si>
  <si>
    <t>7290001045657</t>
  </si>
  <si>
    <t>38000138416</t>
  </si>
  <si>
    <t>38000845246</t>
  </si>
  <si>
    <t>38000183713</t>
  </si>
  <si>
    <t>38000183690</t>
  </si>
  <si>
    <t>38000845253</t>
  </si>
  <si>
    <t>38000138430</t>
  </si>
  <si>
    <t>8006290803514</t>
  </si>
  <si>
    <t>7290112349347</t>
  </si>
  <si>
    <t>7290112349354</t>
  </si>
  <si>
    <t>7290112349378</t>
  </si>
  <si>
    <t>6928542902795</t>
  </si>
  <si>
    <t>6928542902801</t>
  </si>
  <si>
    <t>6928542902818</t>
  </si>
  <si>
    <t>7290115200027</t>
  </si>
  <si>
    <t>7290000074184</t>
  </si>
  <si>
    <t>7290112492357</t>
  </si>
  <si>
    <t>7290112492258</t>
  </si>
  <si>
    <t>7290112496287</t>
  </si>
  <si>
    <t>7290112496294</t>
  </si>
  <si>
    <t>7290112496270</t>
  </si>
  <si>
    <t>7290112495976</t>
  </si>
  <si>
    <t>5410769800097</t>
  </si>
  <si>
    <t>7290106660649</t>
  </si>
  <si>
    <t>7290106720626</t>
  </si>
  <si>
    <t>2043782</t>
  </si>
  <si>
    <t>2043188</t>
  </si>
  <si>
    <t>7290011194246</t>
  </si>
  <si>
    <t>4127329</t>
  </si>
  <si>
    <t>7290011017880</t>
  </si>
  <si>
    <t>7290011017873</t>
  </si>
  <si>
    <t>7290008909853</t>
  </si>
  <si>
    <t>7290001594186</t>
  </si>
  <si>
    <t>7290008909884</t>
  </si>
  <si>
    <t>7290013585387</t>
  </si>
  <si>
    <t>7290008909860</t>
  </si>
  <si>
    <t>7290000284316</t>
  </si>
  <si>
    <t>7290011017866</t>
  </si>
  <si>
    <t>7290001594155</t>
  </si>
  <si>
    <t>7290001594025</t>
  </si>
  <si>
    <t>7290000284361</t>
  </si>
  <si>
    <t>7290013585394</t>
  </si>
  <si>
    <t>8850161167041</t>
  </si>
  <si>
    <t>8850161160851</t>
  </si>
  <si>
    <t>8850161167065</t>
  </si>
  <si>
    <t>7290002542506</t>
  </si>
  <si>
    <t>7501064196690</t>
  </si>
  <si>
    <t>40052403</t>
  </si>
  <si>
    <t>3800020491393</t>
  </si>
  <si>
    <t>3800020423578</t>
  </si>
  <si>
    <t>3800020418130</t>
  </si>
  <si>
    <t>40084107</t>
  </si>
  <si>
    <t>80768258</t>
  </si>
  <si>
    <t>80974482</t>
  </si>
  <si>
    <t>80761761</t>
  </si>
  <si>
    <t>8000500267035</t>
  </si>
  <si>
    <t>80177180</t>
  </si>
  <si>
    <t>5413548280189</t>
  </si>
  <si>
    <t>7290001594230</t>
  </si>
  <si>
    <t>7290000284347</t>
  </si>
  <si>
    <t>7290000161631</t>
  </si>
  <si>
    <t>72909799</t>
  </si>
  <si>
    <t>7290107649117</t>
  </si>
  <si>
    <t>7290000161648</t>
  </si>
  <si>
    <t>7290112497918</t>
  </si>
  <si>
    <t>7290112497901</t>
  </si>
  <si>
    <t>7290112494221</t>
  </si>
  <si>
    <t>7290112494283</t>
  </si>
  <si>
    <t>7290112494238</t>
  </si>
  <si>
    <t>7290112494276</t>
  </si>
  <si>
    <t>7290112494313</t>
  </si>
  <si>
    <t>7290003009312</t>
  </si>
  <si>
    <t>7290000377209</t>
  </si>
  <si>
    <t>7290003145768</t>
  </si>
  <si>
    <t>7290003009329</t>
  </si>
  <si>
    <t>7290000377452</t>
  </si>
  <si>
    <t>7290000148489</t>
  </si>
  <si>
    <t>7290000148748</t>
  </si>
  <si>
    <t>7290003145584</t>
  </si>
  <si>
    <t>7290003009336</t>
  </si>
  <si>
    <t>7290000148618</t>
  </si>
  <si>
    <t>7290003145577</t>
  </si>
  <si>
    <t>7290003145560</t>
  </si>
  <si>
    <t>7290000148939</t>
  </si>
  <si>
    <t>7290003896141</t>
  </si>
  <si>
    <t>7290000377445</t>
  </si>
  <si>
    <t>7290003142699</t>
  </si>
  <si>
    <t>7290111351327</t>
  </si>
  <si>
    <t>5411081003654</t>
  </si>
  <si>
    <t>7290005201882</t>
  </si>
  <si>
    <t>7290000176420</t>
  </si>
  <si>
    <t>7290112344427</t>
  </si>
  <si>
    <t>7290107956932</t>
  </si>
  <si>
    <t>7290106525399</t>
  </si>
  <si>
    <t>8003753158556</t>
  </si>
  <si>
    <t>7290110566623</t>
  </si>
  <si>
    <t>7290105360328</t>
  </si>
  <si>
    <t>7290107953559</t>
  </si>
  <si>
    <t>7290000176062</t>
  </si>
  <si>
    <t>16000548596</t>
  </si>
  <si>
    <t>16000548497</t>
  </si>
  <si>
    <t>16000507777</t>
  </si>
  <si>
    <t>7290008909761</t>
  </si>
  <si>
    <t>7290110113421</t>
  </si>
  <si>
    <t>7290001594568</t>
  </si>
  <si>
    <t>7290110110352</t>
  </si>
  <si>
    <t>7290000074245</t>
  </si>
  <si>
    <t>7290000074375</t>
  </si>
  <si>
    <t>7290000074252</t>
  </si>
  <si>
    <t>7290107937597</t>
  </si>
  <si>
    <t>7290106520066</t>
  </si>
  <si>
    <t>7290107944366</t>
  </si>
  <si>
    <t>7290106669406</t>
  </si>
  <si>
    <t>7290107958523</t>
  </si>
  <si>
    <t>7290104061219</t>
  </si>
  <si>
    <t>7290112332707</t>
  </si>
  <si>
    <t>7290112331946</t>
  </si>
  <si>
    <t>90162800</t>
  </si>
  <si>
    <t>90162602</t>
  </si>
  <si>
    <t>44248</t>
  </si>
  <si>
    <t>7290013702418</t>
  </si>
  <si>
    <t>7290013702425</t>
  </si>
  <si>
    <t>7290011051396</t>
  </si>
  <si>
    <t>7290011051389</t>
  </si>
  <si>
    <t>7290012404238</t>
  </si>
  <si>
    <t>7290011051358</t>
  </si>
  <si>
    <t>7290014791626</t>
  </si>
  <si>
    <t>7290008757034</t>
  </si>
  <si>
    <t>7290000285849</t>
  </si>
  <si>
    <t>7290017888729</t>
  </si>
  <si>
    <t>7290017888842</t>
  </si>
  <si>
    <t>7290017888866</t>
  </si>
  <si>
    <t>7290008757010</t>
  </si>
  <si>
    <t>7290018471111</t>
  </si>
  <si>
    <t>7290012404184</t>
  </si>
  <si>
    <t>7290014791572</t>
  </si>
  <si>
    <t>7290016006377</t>
  </si>
  <si>
    <t>7290012404177</t>
  </si>
  <si>
    <t>7290017888880</t>
  </si>
  <si>
    <t>7290017888859</t>
  </si>
  <si>
    <t>7290013702470</t>
  </si>
  <si>
    <t>7290013702463</t>
  </si>
  <si>
    <t>7290012404146</t>
  </si>
  <si>
    <t>7290000170053</t>
  </si>
  <si>
    <t>7290112351210</t>
  </si>
  <si>
    <t>7290112351197</t>
  </si>
  <si>
    <t>7290000170077</t>
  </si>
  <si>
    <t>7290005200908</t>
  </si>
  <si>
    <t>7290008747431</t>
  </si>
  <si>
    <t>7290008747424</t>
  </si>
  <si>
    <t>7290112351098</t>
  </si>
  <si>
    <t>7290008750400</t>
  </si>
  <si>
    <t>7290107951623</t>
  </si>
  <si>
    <t>7290112348548</t>
  </si>
  <si>
    <t>7290106664067</t>
  </si>
  <si>
    <t>7290014760141</t>
  </si>
  <si>
    <t>4125585</t>
  </si>
  <si>
    <t>4125578</t>
  </si>
  <si>
    <t>7290110325619</t>
  </si>
  <si>
    <t>7290014763289</t>
  </si>
  <si>
    <t>7290014763272</t>
  </si>
  <si>
    <t>72963104</t>
  </si>
  <si>
    <t>4131531</t>
  </si>
  <si>
    <t>4132231</t>
  </si>
  <si>
    <t>4125455</t>
  </si>
  <si>
    <t>7290110325893</t>
  </si>
  <si>
    <t>7290110324773</t>
  </si>
  <si>
    <t>7290110325886</t>
  </si>
  <si>
    <t>42435</t>
  </si>
  <si>
    <t>42442</t>
  </si>
  <si>
    <t>51710</t>
  </si>
  <si>
    <t>4136154</t>
  </si>
  <si>
    <t>52304</t>
  </si>
  <si>
    <t>4136130</t>
  </si>
  <si>
    <t>48185</t>
  </si>
  <si>
    <t>4125400</t>
  </si>
  <si>
    <t>7290006644510</t>
  </si>
  <si>
    <t>7290006644527</t>
  </si>
  <si>
    <t>7290005564680</t>
  </si>
  <si>
    <t>7290002663522</t>
  </si>
  <si>
    <t>7290106662025</t>
  </si>
  <si>
    <t>7290104722530</t>
  </si>
  <si>
    <t>7290112342195</t>
  </si>
  <si>
    <t>7290107942355</t>
  </si>
  <si>
    <t>7290106524439</t>
  </si>
  <si>
    <t>7290102030330</t>
  </si>
  <si>
    <t>7290008753111</t>
  </si>
  <si>
    <t>7290112359018</t>
  </si>
  <si>
    <t>7290110561918</t>
  </si>
  <si>
    <t>7290000178721</t>
  </si>
  <si>
    <t>7290000178707</t>
  </si>
  <si>
    <t>7290115676990</t>
  </si>
  <si>
    <t>7290008752244</t>
  </si>
  <si>
    <t>7290008747547</t>
  </si>
  <si>
    <t>7290008745239</t>
  </si>
  <si>
    <t>7290005200786</t>
  </si>
  <si>
    <t>Ad-khatsot _181103</t>
  </si>
  <si>
    <t>various shapes and sizes</t>
  </si>
  <si>
    <t>Bagle_76133</t>
  </si>
  <si>
    <t>Bagle_76126</t>
  </si>
  <si>
    <t>Bagle_71008</t>
  </si>
  <si>
    <t>including Splendid bites</t>
  </si>
  <si>
    <t>only eggs and bons</t>
  </si>
  <si>
    <t>Cheetos_7290112335425</t>
  </si>
  <si>
    <t>Neviot_7290015493185</t>
  </si>
  <si>
    <t>Nishnushim_7290112495679</t>
  </si>
  <si>
    <t>Pixie_8464215</t>
  </si>
  <si>
    <t>Yoplait_7290110325916</t>
  </si>
  <si>
    <t>Yoplait_7290110325909</t>
  </si>
  <si>
    <t>Ad-khatsot _5199622</t>
  </si>
  <si>
    <t>Click_7290112494290</t>
  </si>
  <si>
    <t>Para-chocolate_170077</t>
  </si>
  <si>
    <t>Para-chocolate_170053</t>
  </si>
  <si>
    <t>Para-chocolate_8747424</t>
  </si>
  <si>
    <t>Bar-Bary_6855046</t>
  </si>
  <si>
    <t>Bar-Bary_6855015</t>
  </si>
  <si>
    <t>Bar-Bary_6855008</t>
  </si>
  <si>
    <t>Bar-Bary_6855039</t>
  </si>
  <si>
    <t>Kinder-Bueno_80052760</t>
  </si>
  <si>
    <t>BeKind_602652176753</t>
  </si>
  <si>
    <t>Hershey's_3423909</t>
  </si>
  <si>
    <t>Reese's_3444009</t>
  </si>
  <si>
    <t>Gardena_80001287</t>
  </si>
  <si>
    <t>SKU for tagging</t>
  </si>
  <si>
    <t>SKU for non-listed products</t>
  </si>
  <si>
    <t>Notes</t>
  </si>
  <si>
    <t>SevenUp_Other</t>
  </si>
  <si>
    <t>Abadi_Other</t>
  </si>
  <si>
    <t>Apropo_Other</t>
  </si>
  <si>
    <t>AquaNova_Other</t>
  </si>
  <si>
    <t>Arizona_Other</t>
  </si>
  <si>
    <t>BacardiBreezer_Other</t>
  </si>
  <si>
    <t>Bagle_Other</t>
  </si>
  <si>
    <t>Bamba_Other</t>
  </si>
  <si>
    <t>Becks_Other</t>
  </si>
  <si>
    <t>Bisli_Other</t>
  </si>
  <si>
    <t>Blu_Other</t>
  </si>
  <si>
    <t>Budweiser_Other</t>
  </si>
  <si>
    <t>carlsberg_Other</t>
  </si>
  <si>
    <t>Cheetos_Other</t>
  </si>
  <si>
    <t>CherryChouffe_Other</t>
  </si>
  <si>
    <t>Cider</t>
  </si>
  <si>
    <t>Cider_Other</t>
  </si>
  <si>
    <t>Coca-Cola_Other</t>
  </si>
  <si>
    <t>CocoMax_Other</t>
  </si>
  <si>
    <t>CocoWay_Other</t>
  </si>
  <si>
    <t>Doritos_Other</t>
  </si>
  <si>
    <t>Dubonim_Other</t>
  </si>
  <si>
    <t>Nesher_Other</t>
  </si>
  <si>
    <t>EstrellaDamm_Other</t>
  </si>
  <si>
    <t>Fanta_Other</t>
  </si>
  <si>
    <t>Ferrarelle_Other</t>
  </si>
  <si>
    <t>Fitness_Other</t>
  </si>
  <si>
    <t>Flipz_Other</t>
  </si>
  <si>
    <t>Fruit&amp;veg_Other</t>
  </si>
  <si>
    <t>FruitWater_Other</t>
  </si>
  <si>
    <t>Fruitwater_Other</t>
  </si>
  <si>
    <t>FuzeTea_Other</t>
  </si>
  <si>
    <t>Gatorade_Other</t>
  </si>
  <si>
    <t>Goldstar_Other</t>
  </si>
  <si>
    <t>Hativ_Other</t>
  </si>
  <si>
    <t>Heineken_Other</t>
  </si>
  <si>
    <t>Island_Other</t>
  </si>
  <si>
    <t>Tapuzina_Other</t>
  </si>
  <si>
    <t>Jumex_Other</t>
  </si>
  <si>
    <t>Jump_Other</t>
  </si>
  <si>
    <t>KasteelRouge_Other</t>
  </si>
  <si>
    <t>Kefli_Other</t>
  </si>
  <si>
    <t>Kinley_Other</t>
  </si>
  <si>
    <t>KliatGat_Other</t>
  </si>
  <si>
    <t>maccabee</t>
  </si>
  <si>
    <t>maccabee_Other</t>
  </si>
  <si>
    <t>Malka_Other</t>
  </si>
  <si>
    <t>MasterCafe_Other</t>
  </si>
  <si>
    <t>MeyEden_Other</t>
  </si>
  <si>
    <t>Mirinda_Other</t>
  </si>
  <si>
    <t>Monster_Other</t>
  </si>
  <si>
    <t>Neviot_Other</t>
  </si>
  <si>
    <t>NeviotPlus_Other</t>
  </si>
  <si>
    <t>Nishnushim_Other</t>
  </si>
  <si>
    <t>Pellito_Other</t>
  </si>
  <si>
    <t>Pepsi_Other</t>
  </si>
  <si>
    <t>Perrier&amp;Juice_Other</t>
  </si>
  <si>
    <t>Pixie_Other</t>
  </si>
  <si>
    <t>Pineapple coconut</t>
  </si>
  <si>
    <t>Peach</t>
  </si>
  <si>
    <t>Strawberry lime (not in pictures)</t>
  </si>
  <si>
    <t>Apple lemongrass</t>
  </si>
  <si>
    <t>Popco</t>
  </si>
  <si>
    <t>Popco_Other</t>
  </si>
  <si>
    <t>Popcorn_Other</t>
  </si>
  <si>
    <t>Powerade_Other</t>
  </si>
  <si>
    <t>Prigat_Other</t>
  </si>
  <si>
    <t>prigat_Other</t>
  </si>
  <si>
    <t>Primor_Other</t>
  </si>
  <si>
    <t>Pringles_Other</t>
  </si>
  <si>
    <t>RedBull_Other</t>
  </si>
  <si>
    <t>SanBenedetto</t>
  </si>
  <si>
    <t>SanBenedetto_Other</t>
  </si>
  <si>
    <t>SanPelegrino_Other</t>
  </si>
  <si>
    <t>Sappe_Other</t>
  </si>
  <si>
    <t>Schweppes_Other</t>
  </si>
  <si>
    <t>SmirnoffIce_Other</t>
  </si>
  <si>
    <t>Snyders_Other</t>
  </si>
  <si>
    <t>Sol_Other</t>
  </si>
  <si>
    <t>Somersby_Other</t>
  </si>
  <si>
    <t>Spring_Other</t>
  </si>
  <si>
    <t>SpringWater</t>
  </si>
  <si>
    <t>SpringWater_Other</t>
  </si>
  <si>
    <t>Sprite_Other</t>
  </si>
  <si>
    <t>Stax_Other</t>
  </si>
  <si>
    <t>Stella_Other</t>
  </si>
  <si>
    <t>StrongBow_Other</t>
  </si>
  <si>
    <t>Tapuchips_Other</t>
  </si>
  <si>
    <t>Tempo_Other</t>
  </si>
  <si>
    <t>Tuborg_Other</t>
  </si>
  <si>
    <t>Werthers_Other</t>
  </si>
  <si>
    <t>Wissotzky_Other</t>
  </si>
  <si>
    <t>XL_Other</t>
  </si>
  <si>
    <t>Nestea_Other</t>
  </si>
  <si>
    <t>Corona_Other</t>
  </si>
  <si>
    <t>IceCoffeeYotvata_Other</t>
  </si>
  <si>
    <t>MilkeyCake_Other</t>
  </si>
  <si>
    <t>Milkey_Other</t>
  </si>
  <si>
    <t>Daniella_Other</t>
  </si>
  <si>
    <t>Bio_Other</t>
  </si>
  <si>
    <t>Danone_Other</t>
  </si>
  <si>
    <t>Yoplait_Other</t>
  </si>
  <si>
    <t>Eden_Other</t>
  </si>
  <si>
    <t>Go_Other</t>
  </si>
  <si>
    <t>Pro_Other</t>
  </si>
  <si>
    <t>GushHalav_Other</t>
  </si>
  <si>
    <t>Yotvata-SmallBottle_Other</t>
  </si>
  <si>
    <t>Tnuva-SmallBottle_Other</t>
  </si>
  <si>
    <t>YoloDrink_Other</t>
  </si>
  <si>
    <t>ProDrink_Other</t>
  </si>
  <si>
    <t>ProDoubleZero_Other</t>
  </si>
  <si>
    <t>GoDrink_Other</t>
  </si>
  <si>
    <t>GoDrink250_Other</t>
  </si>
  <si>
    <t>DanoneDrink_Other</t>
  </si>
  <si>
    <t>DanoneDrinkMango_Other</t>
  </si>
  <si>
    <t>YoplaitDrink_Other</t>
  </si>
  <si>
    <t>SmallBottleMeal_Other</t>
  </si>
  <si>
    <t>AlternativeDrink250_Other</t>
  </si>
  <si>
    <t>Rivion_Other</t>
  </si>
  <si>
    <t>Butter_Other</t>
  </si>
  <si>
    <t>WhippingCream_Other</t>
  </si>
  <si>
    <t>Gil_Other</t>
  </si>
  <si>
    <t>CreamTnuva_Other</t>
  </si>
  <si>
    <t>EnrichedCream_Other</t>
  </si>
  <si>
    <t>Ski_Other</t>
  </si>
  <si>
    <t>WhiteCreamTnuva_Other</t>
  </si>
  <si>
    <t>CottageStrauss_Other</t>
  </si>
  <si>
    <t>CottageTnuva_Other</t>
  </si>
  <si>
    <t>Napoleon_Other</t>
  </si>
  <si>
    <t>Symphonia_Other</t>
  </si>
  <si>
    <t>Piraeus_Other</t>
  </si>
  <si>
    <t>LabaneStrauss_Other</t>
  </si>
  <si>
    <t>Collage_Other</t>
  </si>
  <si>
    <t>MilkTnuva_Other</t>
  </si>
  <si>
    <t>MilkLowFatTnuva_Other</t>
  </si>
  <si>
    <t>CoffeeMilkTnuva_Other</t>
  </si>
  <si>
    <t>MilkYotvata_Other</t>
  </si>
  <si>
    <t>MilkLowFatYotvata_Other</t>
  </si>
  <si>
    <t>MilkLactosseFreeYotvata_Other</t>
  </si>
  <si>
    <t>Alternative_Other</t>
  </si>
  <si>
    <t>AlmondsDrinkTnuva_Other</t>
  </si>
  <si>
    <t>Yotvata-BigBottle_Other</t>
  </si>
  <si>
    <t>ChocoTnuvaBottle_Other</t>
  </si>
  <si>
    <t>ChocoTnuvaBag_Other</t>
  </si>
  <si>
    <t>Reva-lesheva_Other</t>
  </si>
  <si>
    <t>Loacker_Other</t>
  </si>
  <si>
    <t>Oreo_Other</t>
  </si>
  <si>
    <t>Ad-khatsot</t>
  </si>
  <si>
    <t>Ad-khatsot _Other</t>
  </si>
  <si>
    <t>Tortit_Other</t>
  </si>
  <si>
    <t>Pesek-zman_Other</t>
  </si>
  <si>
    <t>Kremugit</t>
  </si>
  <si>
    <t>Kremugit_Other</t>
  </si>
  <si>
    <t>Baflot_Other</t>
  </si>
  <si>
    <t>Wanted-wafer_Other</t>
  </si>
  <si>
    <t>Timtam_Other</t>
  </si>
  <si>
    <t>Choclatechip-Osem</t>
  </si>
  <si>
    <t>Choclatechip-Osem_Other</t>
  </si>
  <si>
    <t>Choclatechip-Merba_Other</t>
  </si>
  <si>
    <t>Milka_Other</t>
  </si>
  <si>
    <t>Dance-delights_Other</t>
  </si>
  <si>
    <t>lotus-biscoff_Other</t>
  </si>
  <si>
    <t>Pettibear</t>
  </si>
  <si>
    <t>Pettibear_Other</t>
  </si>
  <si>
    <t>Mini-chocolateschips</t>
  </si>
  <si>
    <t>Mini-chocolateschips_Other</t>
  </si>
  <si>
    <t>Argaliot</t>
  </si>
  <si>
    <t>Argaliot_Other</t>
  </si>
  <si>
    <t>pettibear_Other</t>
  </si>
  <si>
    <t>Elite-cakes_Other</t>
  </si>
  <si>
    <t>Click_Other</t>
  </si>
  <si>
    <t>Pez_Other</t>
  </si>
  <si>
    <t>Kinder_Other</t>
  </si>
  <si>
    <t>Fresh_Other</t>
  </si>
  <si>
    <t>Must_Other</t>
  </si>
  <si>
    <t>Gummy-wine_Other</t>
  </si>
  <si>
    <t>Splendid_Other</t>
  </si>
  <si>
    <t>Chocolate-Frey_Other</t>
  </si>
  <si>
    <t>Wanted-chocolate_Other</t>
  </si>
  <si>
    <t>Mike&amp;ike_Other</t>
  </si>
  <si>
    <t>Para-chocolate_Other</t>
  </si>
  <si>
    <t>Chocolate-Crunch</t>
  </si>
  <si>
    <t>Chocolate-Crunch_Other</t>
  </si>
  <si>
    <t>Nishnushim-elite_Other</t>
  </si>
  <si>
    <t>Snickers-mini_Other</t>
  </si>
  <si>
    <t>Neshikolada-mini_Other</t>
  </si>
  <si>
    <t>Splendid-bites_Other</t>
  </si>
  <si>
    <t>Nutella-Bready_Other</t>
  </si>
  <si>
    <t>Marshmello</t>
  </si>
  <si>
    <t>Marshmello_Other</t>
  </si>
  <si>
    <t>Kinder-egg_Other</t>
  </si>
  <si>
    <t>Mana-hama_Other</t>
  </si>
  <si>
    <t>Names-bacos-XP_Other</t>
  </si>
  <si>
    <t>Names-bacos-Xtra_Other</t>
  </si>
  <si>
    <t>Shkedey-marak_Other</t>
  </si>
  <si>
    <t>Prichiot-Patit_Other</t>
  </si>
  <si>
    <t>patit-chips_Other</t>
  </si>
  <si>
    <t>Prichiot-Hateimot</t>
  </si>
  <si>
    <t>Prichiot-Hateimot_Other</t>
  </si>
  <si>
    <t>Prichiot-Extra_Other</t>
  </si>
  <si>
    <t>Prichiot-Energy_Other</t>
  </si>
  <si>
    <t>Prichiot-Fitness</t>
  </si>
  <si>
    <t>Prichiot-Fitness_Other</t>
  </si>
  <si>
    <t>Lachmit</t>
  </si>
  <si>
    <t>Lachmit_Other</t>
  </si>
  <si>
    <t>Prichonim-Osem</t>
  </si>
  <si>
    <t>Prichonim-Osem_Other</t>
  </si>
  <si>
    <t>Crecker-Osem</t>
  </si>
  <si>
    <t>Crecker-Osem_Other</t>
  </si>
  <si>
    <t>Kifkef-Maklot_Other</t>
  </si>
  <si>
    <t>Godiva_Other</t>
  </si>
  <si>
    <t>Be Kind_Other</t>
  </si>
  <si>
    <t>Must-Fresh_Other</t>
  </si>
  <si>
    <t>Mentos_Other</t>
  </si>
  <si>
    <t>Skittles_Other</t>
  </si>
  <si>
    <t>Bar-Bary</t>
  </si>
  <si>
    <t>Bar-Bary_Other</t>
  </si>
  <si>
    <t>Bar Bary_Other</t>
  </si>
  <si>
    <t>Klik_Other</t>
  </si>
  <si>
    <t>Wanted-Wafer_Other</t>
  </si>
  <si>
    <t>Bounty_Other</t>
  </si>
  <si>
    <t>Twix_Other</t>
  </si>
  <si>
    <t>Twin_Other</t>
  </si>
  <si>
    <t>Mars_Other</t>
  </si>
  <si>
    <t>Snickers_Other</t>
  </si>
  <si>
    <t>Kinder-Bueno_Other</t>
  </si>
  <si>
    <t>Kinder-Delice_Other</t>
  </si>
  <si>
    <t>Kinder-Country_Other</t>
  </si>
  <si>
    <t>Kinder-HappyHippo_Other</t>
  </si>
  <si>
    <t>Energy-bar_Other</t>
  </si>
  <si>
    <t>Energy_Other</t>
  </si>
  <si>
    <t>KifKef-Patzpatzim_Other</t>
  </si>
  <si>
    <t>Baflot-mini_Other</t>
  </si>
  <si>
    <t>Wafalot_Other</t>
  </si>
  <si>
    <t>Tortit-bar_Other</t>
  </si>
  <si>
    <t>Reva-lesheva-bar_Other</t>
  </si>
  <si>
    <t>Reva-L'Sheva_Other</t>
  </si>
  <si>
    <t>Parra-Chocolate</t>
  </si>
  <si>
    <t>Parra-Chocolate_Other</t>
  </si>
  <si>
    <t>Kifkef_Other</t>
  </si>
  <si>
    <t>Taami_Other</t>
  </si>
  <si>
    <t>Tami_Other</t>
  </si>
  <si>
    <t>Mekupelet_Other</t>
  </si>
  <si>
    <t>Twist_Other</t>
  </si>
  <si>
    <t>Egozi_Other</t>
  </si>
  <si>
    <t>Bazuka_Other</t>
  </si>
  <si>
    <t>TicTac_Other</t>
  </si>
  <si>
    <t>BeKind_Other</t>
  </si>
  <si>
    <t>Nature-Valley_Other</t>
  </si>
  <si>
    <t>Crunchy-Nature_Other</t>
  </si>
  <si>
    <t>American-Nuts</t>
  </si>
  <si>
    <t>American-Nuts_Other</t>
  </si>
  <si>
    <t>Sababa_Other</t>
  </si>
  <si>
    <t>Hershey's</t>
  </si>
  <si>
    <t>Hershey's_Other</t>
  </si>
  <si>
    <t>Reese's</t>
  </si>
  <si>
    <t>Reese's_Other</t>
  </si>
  <si>
    <t>Gardena_Other</t>
  </si>
  <si>
    <t>Garenda_Other</t>
  </si>
  <si>
    <t>Tortina_Other</t>
  </si>
  <si>
    <t>Click-bar_Other</t>
  </si>
  <si>
    <t>PesekZman_Other</t>
  </si>
  <si>
    <t>Kagi_Other</t>
  </si>
  <si>
    <t>No1_Other</t>
  </si>
  <si>
    <t>KitKat_Other</t>
  </si>
  <si>
    <t>Capsules-Caffe-Elite_Other</t>
  </si>
  <si>
    <t>Capsules-Caffe-Landwer_Other</t>
  </si>
  <si>
    <t>Capsules-caffe-illy_Other</t>
  </si>
  <si>
    <t>Wissotzky-Tea</t>
  </si>
  <si>
    <t>Wissotzky-Tea_Other</t>
  </si>
  <si>
    <t>Shokolit</t>
  </si>
  <si>
    <t>Shokolit_Other</t>
  </si>
  <si>
    <t>Jacobs_Other</t>
  </si>
  <si>
    <t>Elite-Caffe_Other</t>
  </si>
  <si>
    <t>Tasters-Choice</t>
  </si>
  <si>
    <t>Tasters-Choice_Other</t>
  </si>
  <si>
    <t>Nakhleh-Caffe</t>
  </si>
  <si>
    <t>Nakhleh-Caffe_Other</t>
  </si>
  <si>
    <t>Turki-Caffe_Other</t>
  </si>
  <si>
    <t>Sucar-Sugat</t>
  </si>
  <si>
    <t>Sucar-Sugat_Other</t>
  </si>
  <si>
    <t>Description</t>
  </si>
  <si>
    <t xml:space="preserve">חטיפים מתוקים                           </t>
  </si>
  <si>
    <t xml:space="preserve">חטיפים בודדים                           </t>
  </si>
  <si>
    <t xml:space="preserve">עוגיות פרימיום                          </t>
  </si>
  <si>
    <t xml:space="preserve">עוגיות מצופות פרימיום                   </t>
  </si>
  <si>
    <t xml:space="preserve">קפה טורקי                               </t>
  </si>
  <si>
    <t xml:space="preserve">קפה טורקי טחון                          </t>
  </si>
  <si>
    <t>Apropo 100g</t>
  </si>
  <si>
    <t xml:space="preserve">חטיפים                                  </t>
  </si>
  <si>
    <t xml:space="preserve">חטיף תירס קונוס                         </t>
  </si>
  <si>
    <t>Apropo 50g</t>
  </si>
  <si>
    <t>Apropo Italiano Sunburn 36 * 50 g</t>
  </si>
  <si>
    <t>Apropo of chocolate 40 g 36 *</t>
  </si>
  <si>
    <t xml:space="preserve">מים בבקבוק                              </t>
  </si>
  <si>
    <t xml:space="preserve">בקבוק מים משפחתי 1ל ומעלה               </t>
  </si>
  <si>
    <t xml:space="preserve">תה קר                                   </t>
  </si>
  <si>
    <t xml:space="preserve">תה קר אישי                              </t>
  </si>
  <si>
    <t xml:space="preserve">תה קר משפחתי 1ל ומעלה                   </t>
  </si>
  <si>
    <t>B Kind</t>
  </si>
  <si>
    <r>
      <rPr>
        <rFont val="Arial"/>
        <color theme="1"/>
      </rPr>
      <t xml:space="preserve">B </t>
    </r>
    <r>
      <rPr>
        <rFont val="Arial"/>
        <color theme="1"/>
      </rPr>
      <t>Kind roasted nuts 40g</t>
    </r>
  </si>
  <si>
    <t xml:space="preserve">חטיפי דגנים מבוגרים                     </t>
  </si>
  <si>
    <t xml:space="preserve">חטיפי דגנים מבוגרים בודד                </t>
  </si>
  <si>
    <t>B Kind roasted nuts 40g</t>
  </si>
  <si>
    <t>Maple Pecan B Kind 40 g</t>
  </si>
  <si>
    <t xml:space="preserve">חטיפי בוטנים                            </t>
  </si>
  <si>
    <t>Barbari</t>
  </si>
  <si>
    <t xml:space="preserve">מסטיקים ללא סוכר                        </t>
  </si>
  <si>
    <t xml:space="preserve">מסטיק לל"ס קופסה                        </t>
  </si>
  <si>
    <t xml:space="preserve">משקאות פונקציונלים/קפה                  </t>
  </si>
  <si>
    <t xml:space="preserve">משקאות קפה בפחית                        </t>
  </si>
  <si>
    <t xml:space="preserve">חטיפי חיטה                              </t>
  </si>
  <si>
    <t xml:space="preserve">בירה לבנה בודד                          </t>
  </si>
  <si>
    <t xml:space="preserve">בירה לבנה בודד בקבוק 500 מ"ל            </t>
  </si>
  <si>
    <t xml:space="preserve">משקה אנרגיה                             </t>
  </si>
  <si>
    <t xml:space="preserve">משקאות אלכוהולים אחרים                  </t>
  </si>
  <si>
    <t xml:space="preserve">אלכוהולים מוכנים לשתיה                  </t>
  </si>
  <si>
    <t>Beer Budweiser</t>
  </si>
  <si>
    <t xml:space="preserve">בירה לבנה בודד בקבוק 330 מ"ל            </t>
  </si>
  <si>
    <t>Can of beer Budweiser</t>
  </si>
  <si>
    <t xml:space="preserve">בירה לבנה בודד פחית 500 מ"ל             </t>
  </si>
  <si>
    <t xml:space="preserve">בירה לבנה בודד פחית 500 מ"ל            </t>
  </si>
  <si>
    <t xml:space="preserve">בירה לבנה באריזה                        </t>
  </si>
  <si>
    <t xml:space="preserve">בירה לבנה מארז בקבוק 330 מ"ל            </t>
  </si>
  <si>
    <t xml:space="preserve">סוכריות מרשמלו                          </t>
  </si>
  <si>
    <t xml:space="preserve">מרשמלו                                  </t>
  </si>
  <si>
    <t xml:space="preserve">טבלאות שוקולד חלב                       </t>
  </si>
  <si>
    <t xml:space="preserve">שוקולד חלב                              </t>
  </si>
  <si>
    <t xml:space="preserve">שוקולד חלב תוספות\ממולא                 </t>
  </si>
  <si>
    <t xml:space="preserve">טבלאות שוקולד לבן                       </t>
  </si>
  <si>
    <t xml:space="preserve">שוקולד לבן                              </t>
  </si>
  <si>
    <t xml:space="preserve">משקאות קלים                             </t>
  </si>
  <si>
    <t xml:space="preserve">משק"ל אישי                              </t>
  </si>
  <si>
    <t>snack click nougat filling out</t>
  </si>
  <si>
    <t>click out of milk cream filled snack</t>
  </si>
  <si>
    <t xml:space="preserve">נישנושים                                </t>
  </si>
  <si>
    <t xml:space="preserve">משקה קולה דיאט                          </t>
  </si>
  <si>
    <t xml:space="preserve">משקה דיאט קולה אישי                     </t>
  </si>
  <si>
    <t xml:space="preserve">משקה דיאט קולה משפחתי 1ל ומעלה          </t>
  </si>
  <si>
    <t xml:space="preserve">משקה קולה רגיל                          </t>
  </si>
  <si>
    <t xml:space="preserve">משקה קולה רגיל אישי                     </t>
  </si>
  <si>
    <t xml:space="preserve">משקה קולה רגיל משפחתי 1ל ומעלה          </t>
  </si>
  <si>
    <t xml:space="preserve">משקה מי קוקוס                           </t>
  </si>
  <si>
    <t xml:space="preserve">משקאות תחליפי סויה                      </t>
  </si>
  <si>
    <t xml:space="preserve">תחליפי סויה אחרים                       </t>
  </si>
  <si>
    <t xml:space="preserve">פיצוחים                                 </t>
  </si>
  <si>
    <t xml:space="preserve">בוטנים אמריקאים                         </t>
  </si>
  <si>
    <t xml:space="preserve">בירה לבנה בודד בקבוק 330 מ"ל             </t>
  </si>
  <si>
    <t xml:space="preserve">בירה לבנה בודד פחית 330 מ"ל             </t>
  </si>
  <si>
    <t xml:space="preserve">קוטג                                    </t>
  </si>
  <si>
    <t xml:space="preserve">קוטג 5%                                 </t>
  </si>
  <si>
    <t xml:space="preserve">תחליפי לחם                              </t>
  </si>
  <si>
    <t xml:space="preserve">מעדנים                                  </t>
  </si>
  <si>
    <t xml:space="preserve">מעדן גבינה מוקצף                        </t>
  </si>
  <si>
    <t xml:space="preserve">יוגורט                                  </t>
  </si>
  <si>
    <t xml:space="preserve">יוגורט בטעמים דיאט                      </t>
  </si>
  <si>
    <t xml:space="preserve">יוגורט בטעמים/תוספות                    </t>
  </si>
  <si>
    <t xml:space="preserve">יוגורט לבן                              </t>
  </si>
  <si>
    <t xml:space="preserve">משקאות חלב                              </t>
  </si>
  <si>
    <t xml:space="preserve">משקה חלב אישי קרטון/בקבוק               </t>
  </si>
  <si>
    <t xml:space="preserve">משקה יוגורט בטעמים                      </t>
  </si>
  <si>
    <t>Dobunim</t>
  </si>
  <si>
    <t>Dobunim 40g</t>
  </si>
  <si>
    <t>Dobunim and rabbits 40g</t>
  </si>
  <si>
    <t xml:space="preserve">חטיף טורטיה                             </t>
  </si>
  <si>
    <t xml:space="preserve">מאפים מלוחים                            </t>
  </si>
  <si>
    <t xml:space="preserve">עוגיות מזרחיות                          </t>
  </si>
  <si>
    <t xml:space="preserve">קינוחים                                 </t>
  </si>
  <si>
    <t xml:space="preserve">וופלים                                  </t>
  </si>
  <si>
    <t xml:space="preserve">וופל בסיסי שוקולד                       </t>
  </si>
  <si>
    <t xml:space="preserve">וופל בסיסי בטעמים                       </t>
  </si>
  <si>
    <t xml:space="preserve">סוכריות קשות                            </t>
  </si>
  <si>
    <t xml:space="preserve">סוכריות קשות לל"ס שקית                  </t>
  </si>
  <si>
    <t xml:space="preserve">עוגות מדף ארוזות                        </t>
  </si>
  <si>
    <t xml:space="preserve">עוגות בראוניס                           </t>
  </si>
  <si>
    <t xml:space="preserve">עוגות שמרים                             </t>
  </si>
  <si>
    <t xml:space="preserve">קפה נמס                                 </t>
  </si>
  <si>
    <t xml:space="preserve">אבקת קפה נמס                            </t>
  </si>
  <si>
    <t xml:space="preserve">קפה אספרסו                              </t>
  </si>
  <si>
    <t xml:space="preserve">אספרסו קפסולות                          </t>
  </si>
  <si>
    <t xml:space="preserve">חטיפים אחרים                            </t>
  </si>
  <si>
    <t>energy</t>
  </si>
  <si>
    <t xml:space="preserve">תחליפי לחם לנשנוש                       </t>
  </si>
  <si>
    <t>ETI</t>
  </si>
  <si>
    <t xml:space="preserve">טבלאות שוקולד מריר                      </t>
  </si>
  <si>
    <t xml:space="preserve">שוקולד מריר תוספות\ממולא                </t>
  </si>
  <si>
    <t xml:space="preserve">מים מוגזים                              </t>
  </si>
  <si>
    <t xml:space="preserve">מים מוגזים אישי                         </t>
  </si>
  <si>
    <t xml:space="preserve">בייגלה                                  </t>
  </si>
  <si>
    <t xml:space="preserve">בייגלה חטיפים 81-230גר                  </t>
  </si>
  <si>
    <t xml:space="preserve">סוכריות מרעננות                         </t>
  </si>
  <si>
    <t xml:space="preserve">סוכריות מרעננות לל"ס                    </t>
  </si>
  <si>
    <t>Fresh blue refresh pages</t>
  </si>
  <si>
    <t xml:space="preserve">דפי ריענון                              </t>
  </si>
  <si>
    <t>Fresh strawberry red refreshment pages</t>
  </si>
  <si>
    <t xml:space="preserve">גבינות מיוחדות מדף                      </t>
  </si>
  <si>
    <t xml:space="preserve">גבינות מיוחדות מדף גליל עז              </t>
  </si>
  <si>
    <t>Fruit &amp; Vogue</t>
  </si>
  <si>
    <t>Fruit &amp; Vogue Pineapple Banana turmeric 350 ml</t>
  </si>
  <si>
    <t>Fruit &amp; Vogue pineapple carrot apple 350 ml</t>
  </si>
  <si>
    <t xml:space="preserve">נקטר                                    </t>
  </si>
  <si>
    <t xml:space="preserve">נקטר אישי                               </t>
  </si>
  <si>
    <t>Fruit &amp; Vogue Hotel Nana Banana 350 ml</t>
  </si>
  <si>
    <t>Fruit &amp; Vogue pomegranate apple beet Gingr 350</t>
  </si>
  <si>
    <t>Fruit water</t>
  </si>
  <si>
    <t>Fruit  Water melon 0.5 L.</t>
  </si>
  <si>
    <t>Fruit  Water pineapple 0.5 L.</t>
  </si>
  <si>
    <t>Fruit  Water melon 1.5 L.</t>
  </si>
  <si>
    <t xml:space="preserve">משק"ל משפחתי 1ל ומעלה                   </t>
  </si>
  <si>
    <t>Fruit  Water pineapple 1.5 L.</t>
  </si>
  <si>
    <t>Fruit  Water Peach 1.5 L.</t>
  </si>
  <si>
    <t xml:space="preserve">שוקולד מריר 70%+ פרימיום                </t>
  </si>
  <si>
    <t>G'omks</t>
  </si>
  <si>
    <t xml:space="preserve">נקטר משפחתי 1ל ומעלה                    </t>
  </si>
  <si>
    <t xml:space="preserve">נמס מיובש בהקפאה                        </t>
  </si>
  <si>
    <t>gil</t>
  </si>
  <si>
    <t>White Gil Tnuva 206 grams of 3%</t>
  </si>
  <si>
    <t xml:space="preserve">אשל לבן שמנת                            </t>
  </si>
  <si>
    <t xml:space="preserve">לבן רגיל/בטעמים                         </t>
  </si>
  <si>
    <t>G'omks coconut pineapple 473 ml bottle dozen</t>
  </si>
  <si>
    <t xml:space="preserve">גבינות צהובות מדף                       </t>
  </si>
  <si>
    <t xml:space="preserve">גבינות צהובות מדף רגיל                  </t>
  </si>
  <si>
    <t>גרנד פטיסרי</t>
  </si>
  <si>
    <t xml:space="preserve">וופל מצופה                              </t>
  </si>
  <si>
    <t xml:space="preserve">משקה ספורט                              </t>
  </si>
  <si>
    <t xml:space="preserve">שוקולד עולם הילדים                      </t>
  </si>
  <si>
    <t xml:space="preserve">חטיפים מתוקים לילדים                    </t>
  </si>
  <si>
    <t>פיסטוקים קלויים. 200 גרם קליית הטיב</t>
  </si>
  <si>
    <t xml:space="preserve">תערובת פיצוחים                          </t>
  </si>
  <si>
    <t xml:space="preserve">בירה ללא אלכוהול                        </t>
  </si>
  <si>
    <t xml:space="preserve">בירה ללא אלכוהול בודד                   </t>
  </si>
  <si>
    <t xml:space="preserve">תבשילים ותערובות                        </t>
  </si>
  <si>
    <t xml:space="preserve">תבשיל אישי                              </t>
  </si>
  <si>
    <t>Jump grapes, 330 ml</t>
  </si>
  <si>
    <t>Jump orange, 330 ml</t>
  </si>
  <si>
    <t>Kif kef</t>
  </si>
  <si>
    <t>Kif kef spoon 45 grams</t>
  </si>
  <si>
    <t>Kif kef tablespoon white 45 g</t>
  </si>
  <si>
    <t>Kif kef palm nut sticks</t>
  </si>
  <si>
    <t>Kif kef snacks spoon 55 grams</t>
  </si>
  <si>
    <t>Kif kef tablespoon of bubble wrap</t>
  </si>
  <si>
    <t>Kileat Gat</t>
  </si>
  <si>
    <t>Kileat Gatl fried peanuts 200g</t>
  </si>
  <si>
    <t xml:space="preserve">ביצי שוקולד                             </t>
  </si>
  <si>
    <t xml:space="preserve">סודה                                    </t>
  </si>
  <si>
    <t xml:space="preserve">סודה אישי                   </t>
  </si>
  <si>
    <t xml:space="preserve">סודה משפחתי 1ל ומעלה                    </t>
  </si>
  <si>
    <t>lahmit</t>
  </si>
  <si>
    <t>lahmit nuts, 160 g</t>
  </si>
  <si>
    <t>Lahmit wheat, 250 g</t>
  </si>
  <si>
    <t>Rural Lahmit 190 g</t>
  </si>
  <si>
    <t>Lahmit Rye barn 250g</t>
  </si>
  <si>
    <t>לייז</t>
  </si>
  <si>
    <t xml:space="preserve">חטיפי ציפס                              </t>
  </si>
  <si>
    <t xml:space="preserve">וופל קוביות                             </t>
  </si>
  <si>
    <t xml:space="preserve">עוגיות יבשות פרימיום                    </t>
  </si>
  <si>
    <t xml:space="preserve">בירה לבנה בודד פחית 500 מ"ל     </t>
  </si>
  <si>
    <t>Peony Malka beer 5.5% alcohol 330 ml</t>
  </si>
  <si>
    <t>Light Beer Malka 6.5% alcohol 330 ml</t>
  </si>
  <si>
    <t>Snack Mars 51 grams</t>
  </si>
  <si>
    <t>Meal to go</t>
  </si>
  <si>
    <t>Mekopelt</t>
  </si>
  <si>
    <t>Mekopelt - excellent milk chocolate bar</t>
  </si>
  <si>
    <t xml:space="preserve">מרקים                                   </t>
  </si>
  <si>
    <t xml:space="preserve">מרק נמס אישי                            </t>
  </si>
  <si>
    <t xml:space="preserve">סוכריות לעיסות                          </t>
  </si>
  <si>
    <t xml:space="preserve">סוכריות לעיסות אחרות                    </t>
  </si>
  <si>
    <t xml:space="preserve">סוכריות קשות לל"ס קופסא                 </t>
  </si>
  <si>
    <t xml:space="preserve">עוגיות שוקוציפס פרימיום                 </t>
  </si>
  <si>
    <t>MerbaCookies Chocolate Chips 37%</t>
  </si>
  <si>
    <t xml:space="preserve">בקבוק מים אישי             </t>
  </si>
  <si>
    <t xml:space="preserve">סוכריות גלי                             </t>
  </si>
  <si>
    <t xml:space="preserve">סוכריית גלי                             </t>
  </si>
  <si>
    <t xml:space="preserve">חטיפים מצוננים                          </t>
  </si>
  <si>
    <t xml:space="preserve">חטיף מצונן                              </t>
  </si>
  <si>
    <t xml:space="preserve">מעדני חלב + קצפת                        </t>
  </si>
  <si>
    <t xml:space="preserve">משקאות מוגזים טעמי פירות                </t>
  </si>
  <si>
    <t xml:space="preserve">תוסס טעמי פירות אישי                    </t>
  </si>
  <si>
    <t xml:space="preserve">תוסס משפחתי טעמי פירות 1ל ומעלה         </t>
  </si>
  <si>
    <t>Cherry Megadim Must LS 28 grams</t>
  </si>
  <si>
    <t>Chewing gum Must melons and watermelons 28 grams</t>
  </si>
  <si>
    <t>Must light mint gum</t>
  </si>
  <si>
    <t>Classic mint chewing gum Must</t>
  </si>
  <si>
    <t>Must candy mint sugar free 80g</t>
  </si>
  <si>
    <t xml:space="preserve">גבינות שמנת                             </t>
  </si>
  <si>
    <t xml:space="preserve">גבינת שמנת בטעמים                       </t>
  </si>
  <si>
    <t xml:space="preserve">גבינת שמנת טבעי                         </t>
  </si>
  <si>
    <t xml:space="preserve">בירה מאלט                               </t>
  </si>
  <si>
    <t xml:space="preserve">בירה מאלט אישי            </t>
  </si>
  <si>
    <t xml:space="preserve">בירה מאלט משפחתי 1ל ומעלה               </t>
  </si>
  <si>
    <t>Neviot +</t>
  </si>
  <si>
    <t xml:space="preserve">מים מועשרים                             </t>
  </si>
  <si>
    <t xml:space="preserve">מים מועשרים אישי                        </t>
  </si>
  <si>
    <t xml:space="preserve">מים מועשרים משפחתי 1ל ומעלה             </t>
  </si>
  <si>
    <t>Nishnushim snack baked onion cream</t>
  </si>
  <si>
    <t xml:space="preserve">חטיפים אפויים                           </t>
  </si>
  <si>
    <t xml:space="preserve">קרקר חטיפים                             </t>
  </si>
  <si>
    <t>Onion cream Nishnushim 60g</t>
  </si>
  <si>
    <t xml:space="preserve">סוכריות גומי                            </t>
  </si>
  <si>
    <t xml:space="preserve">סוכריית גומי                            </t>
  </si>
  <si>
    <t xml:space="preserve">אריזה משפחתית                           </t>
  </si>
  <si>
    <t xml:space="preserve">עוגיות ממולאות פרימיום                  </t>
  </si>
  <si>
    <t>Egozy</t>
  </si>
  <si>
    <t>Egozy- snack nuts coated with milk chocolate</t>
  </si>
  <si>
    <t>ogale</t>
  </si>
  <si>
    <t xml:space="preserve">עוגיות בייסיק                           </t>
  </si>
  <si>
    <t xml:space="preserve">עוגיות יבשות בייסיק                     </t>
  </si>
  <si>
    <t xml:space="preserve">עוגיות סנדביץ פרימיום                   </t>
  </si>
  <si>
    <t xml:space="preserve">שוקולד חלב פרימיום                      </t>
  </si>
  <si>
    <t>Cok. Mini Sokotz'ifs 225 g</t>
  </si>
  <si>
    <t>cok. Sokotz'ifs Classic 200g</t>
  </si>
  <si>
    <t xml:space="preserve">תוספים למרק/סלט                         </t>
  </si>
  <si>
    <t xml:space="preserve">שקדי מרק                                </t>
  </si>
  <si>
    <t>Patit corn chips minutes with buckwheat and Chia</t>
  </si>
  <si>
    <t xml:space="preserve">פריכיות כוסמין\כוסמת                    </t>
  </si>
  <si>
    <t>Patit corn chips minutes with full corn</t>
  </si>
  <si>
    <t xml:space="preserve">פריכיות תירס                            </t>
  </si>
  <si>
    <t>Potato chips flavored Patit natural</t>
  </si>
  <si>
    <t xml:space="preserve">פת                                      </t>
  </si>
  <si>
    <t>Patit chips with green peas and yellow 22 grams</t>
  </si>
  <si>
    <t>Patit potato chips with tomato 22 grams</t>
  </si>
  <si>
    <t>Patit milk chocolate coated cakes excellent</t>
  </si>
  <si>
    <t xml:space="preserve">סוכריות אחרות                           </t>
  </si>
  <si>
    <t xml:space="preserve">סוכריות דחוסות                          </t>
  </si>
  <si>
    <t>Big Snack byte Pesek Zman 52 grams</t>
  </si>
  <si>
    <t>Pesek Zman out milk 45 grams</t>
  </si>
  <si>
    <t>Pesek Zman 2good</t>
  </si>
  <si>
    <t>Pesek Zman CRUNCH</t>
  </si>
  <si>
    <t>Pesek Zman patisserie with raspberry cream</t>
  </si>
  <si>
    <t>Pesek Zman series with creme patisserie cafe latte</t>
  </si>
  <si>
    <t>Pesek Zman pastry cream and nuts 35 grams</t>
  </si>
  <si>
    <t>Pesek Zman snacks 55 grams</t>
  </si>
  <si>
    <t>Brownies Pesek Zman</t>
  </si>
  <si>
    <t>Pinocchio with cream and nuts Pesek Zman</t>
  </si>
  <si>
    <t>Peti-Bar</t>
  </si>
  <si>
    <t>Osem chocolate treats gullible Bar 16 * 220 g</t>
  </si>
  <si>
    <t xml:space="preserve">פתי בר                                  </t>
  </si>
  <si>
    <t xml:space="preserve">פתי בר מתחת ל-1 ק"ג                     </t>
  </si>
  <si>
    <t>Peti-Bar 500g</t>
  </si>
  <si>
    <t xml:space="preserve">גבינות מלוחות מדף                       </t>
  </si>
  <si>
    <t xml:space="preserve">בולגרית בקר מדף                         </t>
  </si>
  <si>
    <t xml:space="preserve">גבינה צפתית מדף                         </t>
  </si>
  <si>
    <t xml:space="preserve">גבינת לאבנה                             </t>
  </si>
  <si>
    <t xml:space="preserve">לאבנה                                   </t>
  </si>
  <si>
    <t xml:space="preserve">פופקורן מוכן לאכילה                     </t>
  </si>
  <si>
    <t>POWERADE</t>
  </si>
  <si>
    <t xml:space="preserve">בייגלה אריזה אישית 50-80גר              </t>
  </si>
  <si>
    <t xml:space="preserve">בייגלה אריזה משפחתית 231-750גר          </t>
  </si>
  <si>
    <t xml:space="preserve">בייגלה שטוח אריזה משפחתית 231-750גר     </t>
  </si>
  <si>
    <t xml:space="preserve">מיץ 100% פרי                            </t>
  </si>
  <si>
    <t xml:space="preserve">מיץ 100% פרי אישי                       </t>
  </si>
  <si>
    <t xml:space="preserve">מיץ טבעי סחוט מקורר                     </t>
  </si>
  <si>
    <t xml:space="preserve">מיץ טבעי סחוט מקורר אישי                </t>
  </si>
  <si>
    <t>Tic Tac</t>
  </si>
  <si>
    <t xml:space="preserve">סוכריות מרעננות עם סוכר                 </t>
  </si>
  <si>
    <t>Taami 40 g flavors</t>
  </si>
  <si>
    <t>Revion</t>
  </si>
  <si>
    <t>Tnuva white Revion pasteurized milk 1.5%</t>
  </si>
  <si>
    <t xml:space="preserve">משקאות לבן                              </t>
  </si>
  <si>
    <t xml:space="preserve">פריכיות חיטה                            </t>
  </si>
  <si>
    <t xml:space="preserve">משקה מוגז עדין בטעמים                   </t>
  </si>
  <si>
    <t xml:space="preserve">מוגז עדין בטעמים אישי                   </t>
  </si>
  <si>
    <t xml:space="preserve">מוגז עדין בטעמים משפחתי 1ל ומעלה        </t>
  </si>
  <si>
    <t xml:space="preserve">מיקסרים                                 </t>
  </si>
  <si>
    <t xml:space="preserve">מיקסרים משפחתי 1 + ליטר                 </t>
  </si>
  <si>
    <t xml:space="preserve">סודה אישי                               </t>
  </si>
  <si>
    <t>מ"</t>
  </si>
  <si>
    <t xml:space="preserve">משקאות מוגזים טעמי למון ליים            </t>
  </si>
  <si>
    <t xml:space="preserve">תוסס למון ליים אישי                     </t>
  </si>
  <si>
    <t xml:space="preserve">תוסס משפחתי למון ליים 1ל ומעלה          </t>
  </si>
  <si>
    <t>Kifli</t>
  </si>
  <si>
    <t>Kifli onion 70 g</t>
  </si>
  <si>
    <t xml:space="preserve">חטיפים מלוחים לילדים                    </t>
  </si>
  <si>
    <t>Kifli Grill 70 g</t>
  </si>
  <si>
    <t xml:space="preserve">גבינות לבנות                            </t>
  </si>
  <si>
    <t xml:space="preserve">גבינות לבנות 200-250גר                  </t>
  </si>
  <si>
    <t xml:space="preserve">משקאות מוגזים טעמי למון ליים דיאט       </t>
  </si>
  <si>
    <t xml:space="preserve">תוסס דיאט למון ליים אישי                </t>
  </si>
  <si>
    <t xml:space="preserve">תוסס דיאט למון ליים משפחתי 1ל ומעלה     </t>
  </si>
  <si>
    <t xml:space="preserve">סוכר </t>
  </si>
  <si>
    <t xml:space="preserve">גבינות במרקם שמנת                       </t>
  </si>
  <si>
    <t xml:space="preserve">גבינות במרקם שמנת בטעמים                </t>
  </si>
  <si>
    <t xml:space="preserve">גבינות במרקם שמנת טבעי                  </t>
  </si>
  <si>
    <t>Tapozina</t>
  </si>
  <si>
    <t>Tapozina grapes, 500 ml</t>
  </si>
  <si>
    <t>Tapozina Strawberry Banana, 500 ml</t>
  </si>
  <si>
    <t>Tapozina lemonade, 1.5 liter</t>
  </si>
  <si>
    <t>Tapozina oranges, 1.5 liter</t>
  </si>
  <si>
    <t>Tapuchips sticks, 200 g</t>
  </si>
  <si>
    <t>Tapuchips sticks, 60 g</t>
  </si>
  <si>
    <t>Tapuchips Pops 60g</t>
  </si>
  <si>
    <t>Tapuchips baked natural flavor 45 g</t>
  </si>
  <si>
    <t>Tapuchips baked garlic yogurt and dill 45 g</t>
  </si>
  <si>
    <t>Tapuchips natural 200g</t>
  </si>
  <si>
    <t>Tapuchips natural 50g</t>
  </si>
  <si>
    <t>Tapuchips salt and vinegar 50g</t>
  </si>
  <si>
    <t>Tapuchips Grill Crunch 50 g</t>
  </si>
  <si>
    <t>Tapuchips natural Crunch 200 g</t>
  </si>
  <si>
    <t>Tapuchips natural Crunch 50 g</t>
  </si>
  <si>
    <t>Tapuchips cream and onion 50 g</t>
  </si>
  <si>
    <t>מ</t>
  </si>
  <si>
    <t>Tara</t>
  </si>
  <si>
    <t xml:space="preserve">מיכלי שמנת מתוקה                        </t>
  </si>
  <si>
    <t xml:space="preserve">שמנת מתוקה                              </t>
  </si>
  <si>
    <t>Tnuva</t>
  </si>
  <si>
    <t>Fresh milk Tnuva 3%</t>
  </si>
  <si>
    <t xml:space="preserve">חלב                                     </t>
  </si>
  <si>
    <t xml:space="preserve">חלב טרי קרטון\כד עד 1 ליטר              </t>
  </si>
  <si>
    <t xml:space="preserve">חלב מועשר                               </t>
  </si>
  <si>
    <t xml:space="preserve">חמאה                                    </t>
  </si>
  <si>
    <t xml:space="preserve">חמאה מפוקחת                             </t>
  </si>
  <si>
    <t xml:space="preserve">תחליפי חלב וטופו                        </t>
  </si>
  <si>
    <t xml:space="preserve">יוגורט ומעדני סויה וטופו                </t>
  </si>
  <si>
    <t xml:space="preserve">לאבנה עם תוספות                         </t>
  </si>
  <si>
    <t>Chocolate Tnuva 1 liter bottle</t>
  </si>
  <si>
    <t xml:space="preserve">משקאות חלב  משפחתי                      </t>
  </si>
  <si>
    <t>MOCHA Tnuva 340 ml bottle</t>
  </si>
  <si>
    <t>Chocolate Tnuva 340 ml bottle</t>
  </si>
  <si>
    <t>GO iced coffee Tnuva 250 ml</t>
  </si>
  <si>
    <t>ליט</t>
  </si>
  <si>
    <t>GO iced coffee Tnuva 340 ml</t>
  </si>
  <si>
    <t>GO vanilla Tnuva 27 grams of protein</t>
  </si>
  <si>
    <t xml:space="preserve">משקאות סויה                             </t>
  </si>
  <si>
    <t xml:space="preserve">סויה מצונן בטעמים                       </t>
  </si>
  <si>
    <t xml:space="preserve">סויה מצונן טבעי                         </t>
  </si>
  <si>
    <t xml:space="preserve">שמנת חמוצה\בטעמים                       </t>
  </si>
  <si>
    <t>Abortion Tortit</t>
  </si>
  <si>
    <t>Personal Tortit abortions</t>
  </si>
  <si>
    <t>Pinocchio Tortit filled with almond cream</t>
  </si>
  <si>
    <t xml:space="preserve">וופל עם תוספות                          </t>
  </si>
  <si>
    <t>Wafel</t>
  </si>
  <si>
    <t>Kagyu wafel coated with chocolate flavor 50g</t>
  </si>
  <si>
    <t xml:space="preserve">חטיפים מתוקים אחרים                     </t>
  </si>
  <si>
    <t xml:space="preserve">וופל אישי                               </t>
  </si>
  <si>
    <t>Kagyu wafel coated 50g milk market</t>
  </si>
  <si>
    <t xml:space="preserve">משקה חלב בשקיות                         </t>
  </si>
  <si>
    <t>Shelf depth: Snacks</t>
  </si>
  <si>
    <t>English</t>
  </si>
  <si>
    <t>Hebrew</t>
  </si>
  <si>
    <t>Werbeh</t>
  </si>
  <si>
    <t>Planogram</t>
  </si>
  <si>
    <t>Shelf depth: Cooler</t>
  </si>
  <si>
    <t>קלית-גת</t>
  </si>
  <si>
    <t>Nuts</t>
  </si>
  <si>
    <t>Snacks</t>
  </si>
  <si>
    <t>Class Name</t>
  </si>
  <si>
    <t>Max Shelf Count</t>
  </si>
  <si>
    <t>Image URL</t>
  </si>
  <si>
    <t>Power SKU</t>
  </si>
  <si>
    <t>Hebrew Description</t>
  </si>
  <si>
    <t>English Description</t>
  </si>
  <si>
    <t>����� ����� 70 ��</t>
  </si>
  <si>
    <t>����� ���� 70 ��</t>
  </si>
  <si>
    <t>����� ��� 67 ��</t>
  </si>
  <si>
    <t>����� ������� 70 ��</t>
  </si>
  <si>
    <t>����� ���� 200 ��</t>
  </si>
  <si>
    <t>����� ��� 190 ��</t>
  </si>
  <si>
    <t>����� ������� 190 ��.</t>
  </si>
  <si>
    <t>���� ������� 40��.</t>
  </si>
  <si>
    <t>���� 80 �� ���</t>
  </si>
  <si>
    <t>������ 50��.����</t>
  </si>
  <si>
    <t>������ 100��. ����</t>
  </si>
  <si>
    <t>���� ����� ���� ���� ���� 80 �</t>
  </si>
  <si>
    <t>���� ��� ����� 80 ��</t>
  </si>
  <si>
    <t>���� ����� ���� ������ 40 ��</t>
  </si>
  <si>
    <t>������� ���� 50 ��.</t>
  </si>
  <si>
    <t>������� ���� 200 ��.</t>
  </si>
  <si>
    <t>������� ��� ���� ���� 50��</t>
  </si>
  <si>
    <t>������� EXTRA ���� 50 ��</t>
  </si>
  <si>
    <t>������� EXTRA ���� 50 ���</t>
  </si>
  <si>
    <t>������� ������ ������ 50 � ���</t>
  </si>
  <si>
    <t>������� EXTRA ���� 200 ��</t>
  </si>
  <si>
    <t>���� ����� ���70 �� \"���</t>
  </si>
  <si>
    <t>���� ����� ���� 70 �� ���</t>
  </si>
  <si>
    <t>לייז טיוב  שמנת חמוצה ובצל 155.9 גרם</t>
  </si>
  <si>
    <t>����� ���� ���� ����</t>
  </si>
  <si>
    <t>����� ���� ���� �����</t>
  </si>
  <si>
    <t>���� ���� IN ������ ���� 38 ��</t>
  </si>
  <si>
    <t>���� ���� IN ������ ��� ���</t>
  </si>
  <si>
    <t>���� ��� ��45 ��</t>
  </si>
  <si>
    <t>������� ����� ����� 375 ��</t>
  </si>
  <si>
    <t>������� ����� ���� 375 ��</t>
  </si>
  <si>
    <t>������ �������� 50 ���</t>
  </si>
  <si>
    <t>������ ��� ����� ���</t>
  </si>
  <si>
    <t>��� ������ XL</t>
  </si>
  <si>
    <t>קראנצ"י מייפל סוכר חום  בודד 42 גרם</t>
  </si>
  <si>
    <t>בפלות טורטית  אישי</t>
  </si>
  <si>
    <t>����� ���� ����� ������ 28 ��</t>
  </si>
  <si>
    <t>בפלות בטעם שוקולד  אישי</t>
  </si>
  <si>
    <t>���� ������ �������� �� ����</t>
  </si>
  <si>
    <t>���� ���� ������� ������ �� ����</t>
  </si>
  <si>
    <t>���� ����� ����� ��� ������</t>
  </si>
  <si>
    <t>���� ����� ����� ������</t>
  </si>
  <si>
    <t>וופל  קקאו במילוי  קרם קוקוס 40 גרם</t>
  </si>
  <si>
    <t>������ ��� ����</t>
  </si>
  <si>
    <t>������ ��� ��� �����</t>
  </si>
  <si>
    <t>������ ��� ������ ���</t>
  </si>
  <si>
    <t>������ ��� ��� �� ������ 100 ���</t>
  </si>
  <si>
    <t>עלית סוכריות פטל לימון  80 גר</t>
  </si>
  <si>
    <t>������ ��� �������� ����� 100 ���</t>
  </si>
  <si>
    <t>שוקולד פרה חלב שברי אגוזים  100 גר</t>
  </si>
  <si>
    <t>������</t>
  </si>
  <si>
    <t>������ �����</t>
  </si>
  <si>
    <t>������ ���� 200 ��</t>
  </si>
  <si>
    <t>������ ������ 200</t>
  </si>
  <si>
    <t>���� ������� ����� 200 ���</t>
  </si>
  <si>
    <t>����� ������ 200 ��</t>
  </si>
  <si>
    <t>������ ������ 200 ��</t>
  </si>
  <si>
    <t>����� ����� 200</t>
  </si>
  <si>
    <t>���� ���� ����� 200 ��</t>
  </si>
  <si>
    <t>����� ����� 200 ���</t>
  </si>
  <si>
    <t>������� ����� ����� �� 200 ���</t>
  </si>
  <si>
    <t>��� ���� 100 �'</t>
  </si>
  <si>
    <t>���� ���頠 100 �'</t>
  </si>
  <si>
    <t>������ ���� 100�� �'</t>
  </si>
  <si>
    <t>������ ����� ���� 200 ���</t>
  </si>
  <si>
    <t>���� ����� 200 ��</t>
  </si>
  <si>
    <t>���� ���� 200 ���</t>
  </si>
  <si>
    <t>���\"�� ������ ���� 180 ���</t>
  </si>
  <si>
    <t>��� ������� ����� ���� ���� 200 ���</t>
  </si>
  <si>
    <t>������ ����� ������ ���� 200 ���</t>
  </si>
  <si>
    <t>������ ���� ���� 200 ���</t>
  </si>
  <si>
    <t>�������/������� 200 ���</t>
  </si>
  <si>
    <t>������ ������� 200 ��</t>
  </si>
  <si>
    <t>���� ������ 500 ��.</t>
  </si>
  <si>
    <t>���� �������� ���� ��� 200��</t>
  </si>
  <si>
    <t>���� ������� ���� ������ ����</t>
  </si>
  <si>
    <t>����� ���� ����� ������ 350 ���</t>
  </si>
  <si>
    <t>������� ����� 500 ��.</t>
  </si>
  <si>
    <t>���.���� ���� ������ ���� 225�</t>
  </si>
  <si>
    <t>������ ���� ���� �������� 200�</t>
  </si>
  <si>
    <t>������ ���� ������� ������ 200</t>
  </si>
  <si>
    <t>������� ���� ���� ���� 300 ��</t>
  </si>
  <si>
    <t>������� ���� ���� ��� 300 ��'</t>
  </si>
  <si>
    <t>מרבה עוגיות  37% שוקולד ציפס</t>
  </si>
  <si>
    <t>וופל  קקאו במילוי קרם קוקוס 142 גרם</t>
  </si>
  <si>
    <t>וופל  קקאו במילוי  קרם קקאו 142 גרם</t>
  </si>
  <si>
    <t>������ 500 �\"� ��� ����</t>
  </si>
  <si>
    <t>���� ����� 250 �\"�</t>
  </si>
  <si>
    <t>��� ���� ������ 400 ��</t>
  </si>
  <si>
    <t>משקה אנרגיה XL TEN  פחית 250 מ"ל</t>
  </si>
  <si>
    <t>��� �������� 200 ��</t>
  </si>
  <si>
    <t>�������</t>
  </si>
  <si>
    <t>��� ����� ���� 100 ��</t>
  </si>
  <si>
    <t>��� ��� ���� 200 ��</t>
  </si>
  <si>
    <t>��� ����� ������ 200 ��</t>
  </si>
  <si>
    <t>�� ������ 1.5 ���</t>
  </si>
  <si>
    <t>�� ���� ����   1/25</t>
  </si>
  <si>
    <t>�� ���� �������</t>
  </si>
  <si>
    <t>���� ���� ��� ����� �� �� 250�</t>
  </si>
  <si>
    <t>קפה גיייקובס קורנינג  47.5 גרם</t>
  </si>
  <si>
    <t>���� 1 �� ������ ������</t>
  </si>
  <si>
    <t>קפסולות אספרסו קלאסיקו  ILLY 10יח 57גרם</t>
  </si>
  <si>
    <t>���� ����� �������� 1.5</t>
  </si>
  <si>
    <t>���� ����� ������ 1.5</t>
  </si>
  <si>
    <t>���� ����� �����1.5</t>
  </si>
  <si>
    <t>���� ����� ���� 1.5 ����</t>
  </si>
  <si>
    <t>���� ����� ���� ��� ����1.5 �</t>
  </si>
  <si>
    <t>���� ����� ������ 1.5 �</t>
  </si>
  <si>
    <t>���� ����� �����500 ��</t>
  </si>
  <si>
    <t>���� ����� ��������500 ��</t>
  </si>
  <si>
    <t>���� ����� ������500 ��</t>
  </si>
  <si>
    <t>��� ������� ������1.5 �</t>
  </si>
  <si>
    <t>��� ������� ������1/2 �.�����</t>
  </si>
  <si>
    <t>�� ������ +���� 1.5 ����</t>
  </si>
  <si>
    <t>�� ������ + ����� 1.5 ����</t>
  </si>
  <si>
    <t>�� ������ +����� 1.5 ����</t>
  </si>
  <si>
    <t>�� ������ +����� 0.5 ����</t>
  </si>
  <si>
    <t>�� ������ +���� 0.5 ����</t>
  </si>
  <si>
    <t>���� ����500 ��</t>
  </si>
  <si>
    <t>���� ���� ���� 500 �\"�</t>
  </si>
  <si>
    <t>���� ���� ����500 ��</t>
  </si>
  <si>
    <t>����� ����� 500 \"�����</t>
  </si>
  <si>
    <t>���� ���� ����� ����� 330 �\"�</t>
  </si>
  <si>
    <t>����� ������� 500 �\"�</t>
  </si>
  <si>
    <t>���� ���� 1.5 �</t>
  </si>
  <si>
    <t>���� ���� ���� 1.5 �</t>
  </si>
  <si>
    <t>����� �����1.5 \"�</t>
  </si>
  <si>
    <t>���� 1.5 �</t>
  </si>
  <si>
    <t>����� ������� 1.5 ����</t>
  </si>
  <si>
    <t>���� ������� ����500 ��</t>
  </si>
  <si>
    <t>���� ������ ����500 ��</t>
  </si>
  <si>
    <t>���� ������� ����� 330 �\"�</t>
  </si>
  <si>
    <t>���� ������ ����� 330 �\"�</t>
  </si>
  <si>
    <t>����� ���� ���� 330 �\"� �����</t>
  </si>
  <si>
    <t>��� ������� ��� ������0.5 �</t>
  </si>
  <si>
    <t>���� ��� ���� 330 �\"�</t>
  </si>
  <si>
    <t>���� ���� ���1.5 �.�.����</t>
  </si>
  <si>
    <t>���� 1.5 ����</t>
  </si>
  <si>
    <t>���� ������ ���� 500 �\"�</t>
  </si>
  <si>
    <t>���� �������� ����500 ��</t>
  </si>
  <si>
    <t>���� �������� 330 �\"� �����</t>
  </si>
  <si>
    <t>���� ���� �����1/24</t>
  </si>
  <si>
    <t>���� �� ������� ������1.5 �</t>
  </si>
  <si>
    <t>���� �� ������� ����� 1.5 ��</t>
  </si>
  <si>
    <t>�� ��� 1.5 ����</t>
  </si>
  <si>
    <t>�� ��� 1/2 ���� �����</t>
  </si>
  <si>
    <t>���� �����250 ��.�����</t>
  </si>
  <si>
    <t>���� ����� 1.5 �</t>
  </si>
  <si>
    <t>�� ���� ����� ���� 250 �\"�</t>
  </si>
  <si>
    <t>������ ���� 400 ��</t>
  </si>
  <si>
    <t>����� �� ���� 400 ��</t>
  </si>
  <si>
    <t>���� ������ ��� ���� ����1.5 �</t>
  </si>
  <si>
    <t>���� ������ ��� ���� 1.5 �</t>
  </si>
  <si>
    <t>איילנד מנגו  350 מ"ל</t>
  </si>
  <si>
    <t>סאפה משקה אלוורה  בטעם ענבים</t>
  </si>
  <si>
    <t>���� ������ 355 �\"�</t>
  </si>
  <si>
    <t>����� ������ ���� ����</t>
  </si>
  <si>
    <t>בלו  דיי משקה אנרגיה 250 מל</t>
  </si>
  <si>
    <t>פיוז טי ,תה קר  בטעם אפרסק דיאט</t>
  </si>
  <si>
    <t>נסטי -  תה קר בטעם אפרסק 1.5 ליטר</t>
  </si>
  <si>
    <t>גטורייד ספורט קול בלו,  500 מל</t>
  </si>
  <si>
    <t>����� ���� �������� ����� 330 �\"�</t>
  </si>
  <si>
    <t>�������� �� ����� ����</t>
  </si>
  <si>
    <t>���� ���� 7.9% ���� 500 �\"�</t>
  </si>
  <si>
    <t>�\"��� ������ 330 �\"�</t>
  </si>
  <si>
    <t>�\"��� ����� 330 �\"�</t>
  </si>
  <si>
    <t>����� ���� 330 �\"� 7.9% �������</t>
  </si>
  <si>
    <t>������ 1 ����</t>
  </si>
  <si>
    <t>���� XL TEN ���� ���� 250 �\"� 2019</t>
  </si>
  <si>
    <t>���� ������ XL TEN ���� ���� 250 �\"�</t>
  </si>
  <si>
    <t>בירה קסטל רוזי                     330</t>
  </si>
  <si>
    <t>������� ��� ���� 500��</t>
  </si>
  <si>
    <t>������� ����� 500��</t>
  </si>
  <si>
    <t>ג'ומקס אננס  בקבוק 473 מ"ל תריסר</t>
  </si>
  <si>
    <t>ג'ומקס אפרסק קרטונית  ליטר תריסר</t>
  </si>
  <si>
    <t>ג'ומקס אננס קרטונית  ליטר תריסר</t>
  </si>
  <si>
    <t>���� ������ ���� ���� 275 �\"�</t>
  </si>
  <si>
    <t>���� 275 �\"� �����</t>
  </si>
  <si>
    <t>קוקו מקס 100% מי  קוקוס 350 מ"ל</t>
  </si>
  <si>
    <t>Fuze tea גרין לימון נענע  0.5 ליטר</t>
  </si>
  <si>
    <t>ג'ומקס קוקוס אננס קרטונית  ליטר תריסר</t>
  </si>
  <si>
    <t>ג'ומקס מנגו קרטונית  ליטר תריסר</t>
  </si>
  <si>
    <t>���� ��� ����� ���� 330 �\"�</t>
  </si>
  <si>
    <t>������ �������� ����  500 �\"�</t>
  </si>
  <si>
    <t>������ ����� ���� 500 �\"�</t>
  </si>
  <si>
    <t>סאפה משקה אלוורה  בטעם מלון</t>
  </si>
  <si>
    <t>���� ������ - ��' 330 �\"�</t>
  </si>
  <si>
    <t>קפה קר BeanZ  ללא חלב וסוכר פחית 250 מ"</t>
  </si>
  <si>
    <t>קפה קר BeanZ עם קצת מתיקות פחית  250 מ"ל</t>
  </si>
  <si>
    <t>.������ ������� ����� 80��</t>
  </si>
  <si>
    <t>����� ������� ����� 400 ���</t>
  </si>
  <si>
    <t>.������ ������� ����� 500��</t>
  </si>
  <si>
    <t>������ ������ �� ��� ��\"� 60 �</t>
  </si>
  <si>
    <t>סניידרס שברי בייגלה בטעם פרמזן ושום  283</t>
  </si>
  <si>
    <t>��� ���� 250��.         131</t>
  </si>
  <si>
    <t>���� ��� 150 ���         149</t>
  </si>
  <si>
    <t>����� ���� ���� ���� 250 ���</t>
  </si>
  <si>
    <t>����� ����� 190 ���</t>
  </si>
  <si>
    <t>����� �������� ����� ��� ���� 80 ���</t>
  </si>
  <si>
    <t>�������� ����� ��� 140 ���</t>
  </si>
  <si>
    <t>����� �������� ���� 80 ���</t>
  </si>
  <si>
    <t>����� ������ 160 ��</t>
  </si>
  <si>
    <t>����� �� ����� 230 ���</t>
  </si>
  <si>
    <t>���� ������</t>
  </si>
  <si>
    <t>����� ����� ������� ������ ����� 60 ���</t>
  </si>
  <si>
    <t>����� ����� ������� ������ ���� �� 60 ���</t>
  </si>
  <si>
    <t>������� ������ ����� 135 ���</t>
  </si>
  <si>
    <t>������� �������-���� ���� 30���</t>
  </si>
  <si>
    <t>������ ������� ���� ��� 30���</t>
  </si>
  <si>
    <t>פתית ציפס עם תפוחי אדמה עגבניות  22 גרם</t>
  </si>
  <si>
    <t>משקה סויה וניל  1 ליטר</t>
  </si>
  <si>
    <t>שמנת חמוצה יטבתה מועשרת  200 מל 15%</t>
  </si>
  <si>
    <t>משקה קפה קר בסגנון מעודן  230 מ"ל</t>
  </si>
  <si>
    <t>יופלה משקה יוגורט בכוס תותים בשמנת   2%</t>
  </si>
  <si>
    <t>דנונה פרו 20 גרם חלבון יוגורט  200 גרם</t>
  </si>
  <si>
    <t>בוואריה עדן  75 גרם</t>
  </si>
  <si>
    <t>מלבי עדן  150גרם</t>
  </si>
  <si>
    <t>Bamba_Yellow_80g</t>
  </si>
  <si>
    <t>80g</t>
  </si>
  <si>
    <t>במבה 80 גר כשר</t>
  </si>
  <si>
    <t>Bamba Yellow 80g</t>
  </si>
  <si>
    <t>Bisli_Grill_70g</t>
  </si>
  <si>
    <t>70g</t>
  </si>
  <si>
    <t>ביסלי גריל 70 גר</t>
  </si>
  <si>
    <t>Bisli Grill 70g</t>
  </si>
  <si>
    <t>Bisli_Onion_67g</t>
  </si>
  <si>
    <t>67g</t>
  </si>
  <si>
    <t>ביסלי בצל 67 גר</t>
  </si>
  <si>
    <t>Bisli Onion 67g</t>
  </si>
  <si>
    <t>Tapuchips_Classic_50g</t>
  </si>
  <si>
    <t>50g</t>
  </si>
  <si>
    <t>תפוציפס מלוח 50 גר.</t>
  </si>
  <si>
    <t>Tapuchips Classic 50g</t>
  </si>
  <si>
    <t>Click_Balls_65g</t>
  </si>
  <si>
    <t>65g</t>
  </si>
  <si>
    <t>קליק שקית  כדורים חלב 65גר</t>
  </si>
  <si>
    <t>Click Balls 65g</t>
  </si>
  <si>
    <t>Click_Pillows_65g</t>
  </si>
  <si>
    <t>קליק שקית  כריות 65 גרם</t>
  </si>
  <si>
    <t>Click Pillows 65g</t>
  </si>
  <si>
    <t>Click_Biscuit_65g</t>
  </si>
  <si>
    <t>קליק שקית ביסקוויט 65 גרם</t>
  </si>
  <si>
    <t>Click Biscuit 65g</t>
  </si>
  <si>
    <t>Para_MilkChocolate_100g</t>
  </si>
  <si>
    <t>100g</t>
  </si>
  <si>
    <t>שוקולד חלב פרה אדומה</t>
  </si>
  <si>
    <t>Para MilkChocolate 100g</t>
  </si>
  <si>
    <t>Para_MilkChocolateNuts_100g</t>
  </si>
  <si>
    <t>שוקולד פרה קרם נוגט</t>
  </si>
  <si>
    <t>Para MilkChocolateNuts 100g</t>
  </si>
  <si>
    <t>Para_DarkChocolate_100g</t>
  </si>
  <si>
    <t>שוקולד פרה מריר</t>
  </si>
  <si>
    <t>Para DarkChocolate 100g</t>
  </si>
  <si>
    <t>Loacker_Nuts_250g</t>
  </si>
  <si>
    <t>250g</t>
  </si>
  <si>
    <t>וופל קואדרטיני אגוז 250 גר.</t>
  </si>
  <si>
    <t>Loacker Nuts 250g</t>
  </si>
  <si>
    <t>Loacker_Chocolate_250g</t>
  </si>
  <si>
    <t>וופל קואדרטיני קקאו 250 גר.</t>
  </si>
  <si>
    <t>Loacker Chocolate 250g</t>
  </si>
  <si>
    <t>Argaliot_Chocolate_300g</t>
  </si>
  <si>
    <t>300g</t>
  </si>
  <si>
    <t>ערגליות משהו משהו שוקו 300 גר</t>
  </si>
  <si>
    <t>Argaliot Chocolate 300g</t>
  </si>
  <si>
    <t>Argaliot_Strawberry_300g</t>
  </si>
  <si>
    <t>ערגליות משהו משהו תות 300 גר'</t>
  </si>
  <si>
    <t>Argaliot Strawberry 300g</t>
  </si>
  <si>
    <t>Neviot_Water_1.5L</t>
  </si>
  <si>
    <t>1.5L</t>
  </si>
  <si>
    <t>מים מינרלים נביעות1.5 ל</t>
  </si>
  <si>
    <t>Neviot Water 1.5L</t>
  </si>
  <si>
    <t>FuzeTea_Peach_1.5L</t>
  </si>
  <si>
    <t>פיוז תה אפרסק 1.5 ליטר</t>
  </si>
  <si>
    <t>FuzeTea Peach 1.5L</t>
  </si>
  <si>
    <t>CocaCola_Zero_1.5L</t>
  </si>
  <si>
    <t>קוקה קולה זירו 1.5 ל</t>
  </si>
  <si>
    <t>CocaCola Zero 1.5L</t>
  </si>
  <si>
    <t>CocaCola_Classic_1.5L</t>
  </si>
  <si>
    <t>קוקה קולה 1.5 ל</t>
  </si>
  <si>
    <t>CocaCola Classic 1.5L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</si>
</sst>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"/>
    <numFmt numFmtId="165" formatCode="mmm-d"/>
  </numFmts>
  <fonts count="13">
    <font>
      <sz val="10.0"/>
      <color rgb="FF000000"/>
      <name val="Arial"/>
    </font>
    <font>
      <b/>
      <sz val="14.0"/>
      <color theme="0"/>
      <name val="Arial"/>
    </font>
    <font>
      <b/>
      <sz val="14.0"/>
      <color rgb="FFFFFFFF"/>
      <name val="Arial"/>
    </font>
    <font>
      <color rgb="FF000000"/>
      <name val="Arial"/>
    </font>
    <font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202124"/>
      <name val="Arial"/>
    </font>
    <font>
      <sz val="14.0"/>
      <color rgb="FFFFFFFF"/>
      <name val="Arial"/>
    </font>
    <font>
      <sz val="9.0"/>
      <color theme="1"/>
      <name val="Sans-serif"/>
    </font>
    <font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1F1DA"/>
        <bgColor rgb="FFD1F1DA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BDAD7"/>
        <bgColor rgb="FFFBDAD7"/>
      </patternFill>
    </fill>
  </fills>
  <borders count="11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3" fontId="2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5" fillId="4" fontId="3" numFmtId="0" xfId="0" applyAlignment="1" applyBorder="1" applyFill="1" applyFont="1">
      <alignment horizontal="center" readingOrder="0" shrinkToFit="0" vertical="bottom" wrapText="0"/>
    </xf>
    <xf borderId="5" fillId="5" fontId="3" numFmtId="0" xfId="0" applyAlignment="1" applyBorder="1" applyFill="1" applyFont="1">
      <alignment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4" fillId="4" fontId="4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2" fillId="4" fontId="3" numFmtId="0" xfId="0" applyAlignment="1" applyBorder="1" applyFont="1">
      <alignment horizontal="center" readingOrder="0" shrinkToFit="0" vertical="bottom" wrapText="0"/>
    </xf>
    <xf borderId="2" fillId="5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1" fillId="4" fontId="4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2" fillId="6" fontId="3" numFmtId="0" xfId="0" applyAlignment="1" applyBorder="1" applyFill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2" fillId="6" fontId="3" numFmtId="0" xfId="0" applyAlignment="1" applyBorder="1" applyFont="1">
      <alignment horizontal="right" readingOrder="0" shrinkToFit="0" vertical="bottom" wrapText="0"/>
    </xf>
    <xf borderId="2" fillId="7" fontId="3" numFmtId="0" xfId="0" applyAlignment="1" applyBorder="1" applyFill="1" applyFont="1">
      <alignment horizontal="right" readingOrder="0" shrinkToFit="0" vertical="bottom" wrapText="0"/>
    </xf>
    <xf borderId="2" fillId="7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3" fillId="8" fontId="4" numFmtId="0" xfId="0" applyAlignment="1" applyBorder="1" applyFill="1" applyFont="1">
      <alignment horizontal="left" readingOrder="0" shrinkToFit="0" vertical="bottom" wrapText="0"/>
    </xf>
    <xf borderId="2" fillId="9" fontId="3" numFmtId="0" xfId="0" applyAlignment="1" applyBorder="1" applyFill="1" applyFont="1">
      <alignment horizontal="right" readingOrder="0" shrinkToFit="0" vertical="bottom" wrapText="0"/>
    </xf>
    <xf borderId="2" fillId="8" fontId="3" numFmtId="0" xfId="0" applyAlignment="1" applyBorder="1" applyFont="1">
      <alignment horizontal="right" readingOrder="0" shrinkToFit="0" vertical="bottom" wrapText="0"/>
    </xf>
    <xf borderId="2" fillId="5" fontId="4" numFmtId="0" xfId="0" applyAlignment="1" applyBorder="1" applyFont="1">
      <alignment shrinkToFit="0" vertical="bottom" wrapText="0"/>
    </xf>
    <xf borderId="4" fillId="9" fontId="3" numFmtId="0" xfId="0" applyAlignment="1" applyBorder="1" applyFont="1">
      <alignment horizontal="right" readingOrder="0"/>
    </xf>
    <xf borderId="2" fillId="5" fontId="3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Border="1" applyFont="1"/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right" readingOrder="0" shrinkToFit="0" vertical="bottom" wrapText="0"/>
    </xf>
    <xf borderId="4" fillId="9" fontId="3" numFmtId="0" xfId="0" applyAlignment="1" applyBorder="1" applyFont="1">
      <alignment horizontal="left" readingOrder="0"/>
    </xf>
    <xf borderId="4" fillId="7" fontId="4" numFmtId="0" xfId="0" applyAlignment="1" applyBorder="1" applyFont="1">
      <alignment readingOrder="0"/>
    </xf>
    <xf borderId="4" fillId="7" fontId="3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/>
    </xf>
    <xf borderId="4" fillId="7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10" fontId="4" numFmtId="0" xfId="0" applyAlignment="1" applyBorder="1" applyFill="1" applyFont="1">
      <alignment readingOrder="0"/>
    </xf>
    <xf borderId="4" fillId="10" fontId="4" numFmtId="0" xfId="0" applyBorder="1" applyFont="1"/>
    <xf borderId="4" fillId="0" fontId="4" numFmtId="0" xfId="0" applyAlignment="1" applyBorder="1" applyFont="1">
      <alignment horizontal="left"/>
    </xf>
    <xf borderId="4" fillId="10" fontId="3" numFmtId="0" xfId="0" applyAlignment="1" applyBorder="1" applyFont="1">
      <alignment horizontal="right" readingOrder="0"/>
    </xf>
    <xf borderId="0" fillId="0" fontId="4" numFmtId="0" xfId="0" applyAlignment="1" applyFont="1">
      <alignment horizontal="left"/>
    </xf>
    <xf borderId="0" fillId="2" fontId="1" numFmtId="0" xfId="0" applyAlignment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5" fillId="2" fontId="2" numFmtId="0" xfId="0" applyAlignment="1" applyBorder="1" applyFont="1">
      <alignment horizontal="center" readingOrder="0" shrinkToFit="0" vertical="bottom" wrapText="0"/>
    </xf>
    <xf borderId="6" fillId="3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ont="1">
      <alignment horizontal="center" readingOrder="0" shrinkToFit="0" vertical="bottom" wrapText="0"/>
    </xf>
    <xf borderId="0" fillId="2" fontId="2" numFmtId="49" xfId="0" applyAlignment="1" applyFont="1" applyNumberFormat="1">
      <alignment horizontal="center" readingOrder="0" shrinkToFit="0" vertical="bottom" wrapText="0"/>
    </xf>
    <xf borderId="4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0" fillId="0" fontId="4" numFmtId="49" xfId="0" applyFont="1" applyNumberFormat="1"/>
    <xf borderId="3" fillId="5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10" fontId="4" numFmtId="0" xfId="0" applyAlignment="1" applyFont="1">
      <alignment readingOrder="0"/>
    </xf>
    <xf borderId="7" fillId="0" fontId="6" numFmtId="0" xfId="0" applyAlignment="1" applyBorder="1" applyFont="1">
      <alignment horizontal="left" readingOrder="0" shrinkToFit="0" vertical="bottom" wrapText="0"/>
    </xf>
    <xf borderId="8" fillId="0" fontId="6" numFmtId="0" xfId="0" applyAlignment="1" applyBorder="1" applyFont="1">
      <alignment horizontal="left" readingOrder="0" shrinkToFit="0" vertical="bottom" wrapText="0"/>
    </xf>
    <xf borderId="8" fillId="11" fontId="6" numFmtId="0" xfId="0" applyAlignment="1" applyBorder="1" applyFill="1" applyFont="1">
      <alignment horizontal="left" readingOrder="0" shrinkToFit="0" vertical="bottom" wrapText="0"/>
    </xf>
    <xf borderId="9" fillId="0" fontId="7" numFmtId="0" xfId="0" applyAlignment="1" applyBorder="1" applyFont="1">
      <alignment horizontal="left" readingOrder="0" shrinkToFit="0" vertical="bottom" wrapText="0"/>
    </xf>
    <xf borderId="10" fillId="0" fontId="7" numFmtId="0" xfId="0" applyAlignment="1" applyBorder="1" applyFont="1">
      <alignment horizontal="left" readingOrder="0" shrinkToFit="0" vertical="bottom" wrapText="0"/>
    </xf>
    <xf borderId="10" fillId="11" fontId="7" numFmtId="0" xfId="0" applyAlignment="1" applyBorder="1" applyFont="1">
      <alignment horizontal="left" readingOrder="0" shrinkToFit="0" vertical="bottom" wrapText="0"/>
    </xf>
    <xf borderId="10" fillId="0" fontId="7" numFmtId="0" xfId="0" applyAlignment="1" applyBorder="1" applyFont="1">
      <alignment shrinkToFit="0" vertical="bottom" wrapText="0"/>
    </xf>
    <xf borderId="10" fillId="0" fontId="8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8" fillId="0" fontId="7" numFmtId="0" xfId="0" applyAlignment="1" applyBorder="1" applyFont="1">
      <alignment horizontal="left" readingOrder="0" shrinkToFit="0" vertical="bottom" wrapText="0"/>
    </xf>
    <xf borderId="10" fillId="0" fontId="9" numFmtId="0" xfId="0" applyAlignment="1" applyBorder="1" applyFont="1">
      <alignment horizontal="left" readingOrder="0" shrinkToFit="0" wrapText="0"/>
    </xf>
    <xf borderId="10" fillId="0" fontId="7" numFmtId="0" xfId="0" applyAlignment="1" applyBorder="1" applyFont="1">
      <alignment horizontal="left" shrinkToFit="0" vertical="bottom" wrapText="0"/>
    </xf>
    <xf borderId="9" fillId="0" fontId="8" numFmtId="0" xfId="0" applyAlignment="1" applyBorder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wrapText="0"/>
    </xf>
    <xf borderId="7" fillId="0" fontId="7" numFmtId="0" xfId="0" applyAlignment="1" applyBorder="1" applyFont="1">
      <alignment horizontal="left" readingOrder="0" shrinkToFit="0" vertical="bottom" wrapText="0"/>
    </xf>
    <xf borderId="4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readingOrder="0" vertical="bottom"/>
    </xf>
    <xf borderId="4" fillId="3" fontId="2" numFmtId="0" xfId="0" applyAlignment="1" applyBorder="1" applyFont="1">
      <alignment horizontal="center" readingOrder="0" vertical="bottom"/>
    </xf>
    <xf borderId="4" fillId="3" fontId="2" numFmtId="0" xfId="0" applyAlignment="1" applyBorder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right" vertical="bottom"/>
    </xf>
    <xf borderId="4" fillId="0" fontId="4" numFmtId="0" xfId="0" applyAlignment="1" applyBorder="1" applyFont="1">
      <alignment horizontal="left" vertical="bottom"/>
    </xf>
    <xf borderId="4" fillId="0" fontId="4" numFmtId="0" xfId="0" applyAlignment="1" applyBorder="1" applyFont="1">
      <alignment horizontal="right" vertical="bottom"/>
    </xf>
    <xf borderId="4" fillId="4" fontId="4" numFmtId="0" xfId="0" applyAlignment="1" applyBorder="1" applyFont="1">
      <alignment horizontal="center" vertical="bottom"/>
    </xf>
    <xf borderId="4" fillId="5" fontId="4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4" fillId="0" fontId="4" numFmtId="1" xfId="0" applyAlignment="1" applyBorder="1" applyFont="1" applyNumberFormat="1">
      <alignment horizontal="right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vertical="bottom"/>
    </xf>
    <xf borderId="0" fillId="0" fontId="4" numFmtId="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4" fillId="0" fontId="3" numFmtId="1" xfId="0" applyAlignment="1" applyBorder="1" applyFont="1" applyNumberFormat="1">
      <alignment horizontal="right" vertical="bottom"/>
    </xf>
    <xf borderId="4" fillId="4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5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vertical="bottom"/>
    </xf>
    <xf borderId="4" fillId="2" fontId="10" numFmtId="0" xfId="0" applyAlignment="1" applyBorder="1" applyFont="1">
      <alignment horizontal="center" readingOrder="0" vertical="bottom"/>
    </xf>
    <xf borderId="0" fillId="9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4" numFmtId="0" xfId="0" applyAlignment="1" applyFont="1">
      <alignment readingOrder="0"/>
    </xf>
    <xf borderId="4" fillId="2" fontId="10" numFmtId="0" xfId="0" applyAlignment="1" applyBorder="1" applyFont="1">
      <alignment horizontal="center"/>
    </xf>
    <xf borderId="4" fillId="2" fontId="10" numFmtId="0" xfId="0" applyAlignment="1" applyBorder="1" applyFont="1">
      <alignment horizontal="center" vertical="bottom"/>
    </xf>
    <xf borderId="4" fillId="2" fontId="10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horizontal="right" shrinkToFit="0" vertical="bottom" wrapText="0"/>
    </xf>
    <xf borderId="4" fillId="2" fontId="1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77.57"/>
    <col customWidth="1" min="3" max="5" width="9.14"/>
    <col customWidth="1" min="6" max="6" width="6.86"/>
    <col customWidth="1" min="7" max="7" width="4.86"/>
    <col customWidth="1" min="8" max="8" width="22.29"/>
    <col customWidth="1" min="9" max="9" width="13.71"/>
    <col customWidth="1" min="10" max="10" width="28.57"/>
    <col customWidth="1" min="11" max="11" width="26.43"/>
    <col customWidth="1" min="12" max="12" width="31.43"/>
    <col customWidth="1" min="13" max="13" width="29.43"/>
    <col customWidth="1" min="14" max="14" width="28.71"/>
    <col customWidth="1" min="15" max="15" width="21.0"/>
    <col customWidth="1" min="16" max="16" width="24.57"/>
    <col customWidth="1" min="17" max="17" width="4.86"/>
    <col customWidth="1" min="18" max="18" width="3.86"/>
    <col customWidth="1" min="22" max="22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5" t="s">
        <v>20</v>
      </c>
      <c r="V1" s="6" t="s">
        <v>21</v>
      </c>
    </row>
    <row r="2">
      <c r="A2" s="8">
        <v>8.56591000062E11</v>
      </c>
      <c r="B2" s="9" t="s">
        <v>22</v>
      </c>
      <c r="C2" s="10">
        <v>0.15</v>
      </c>
      <c r="D2" s="10">
        <v>0.27</v>
      </c>
      <c r="E2" s="10">
        <v>0.05</v>
      </c>
      <c r="F2" s="11">
        <v>6.0</v>
      </c>
      <c r="G2" s="12"/>
      <c r="H2" s="13" t="s">
        <v>23</v>
      </c>
      <c r="I2" s="10" t="s">
        <v>24</v>
      </c>
      <c r="J2" s="13"/>
      <c r="K2" s="13" t="s">
        <v>25</v>
      </c>
      <c r="L2" s="14" t="s">
        <v>26</v>
      </c>
      <c r="M2" s="15" t="s">
        <v>27</v>
      </c>
      <c r="N2" s="16" t="s">
        <v>28</v>
      </c>
      <c r="O2" s="13" t="s">
        <v>29</v>
      </c>
      <c r="P2" s="13" t="s">
        <v>30</v>
      </c>
      <c r="Q2" s="17"/>
      <c r="R2" s="17"/>
      <c r="S2" s="18" t="s">
        <v>31</v>
      </c>
      <c r="T2" s="10" t="s">
        <v>27</v>
      </c>
      <c r="U2" s="18" t="s">
        <v>24</v>
      </c>
      <c r="V2" s="10" t="s">
        <v>32</v>
      </c>
    </row>
    <row r="3">
      <c r="A3" s="19">
        <v>7.290002132011E12</v>
      </c>
      <c r="B3" s="20" t="s">
        <v>33</v>
      </c>
      <c r="C3" s="21">
        <v>0.17</v>
      </c>
      <c r="D3" s="21">
        <v>0.27</v>
      </c>
      <c r="E3" s="21">
        <v>0.05</v>
      </c>
      <c r="F3" s="22">
        <v>6.0</v>
      </c>
      <c r="G3" s="23"/>
      <c r="H3" s="24" t="s">
        <v>23</v>
      </c>
      <c r="I3" s="21" t="s">
        <v>24</v>
      </c>
      <c r="J3" s="24"/>
      <c r="K3" s="24" t="s">
        <v>34</v>
      </c>
      <c r="L3" s="20" t="s">
        <v>35</v>
      </c>
      <c r="M3" s="25" t="s">
        <v>36</v>
      </c>
      <c r="N3" s="26" t="s">
        <v>37</v>
      </c>
      <c r="O3" s="24" t="s">
        <v>29</v>
      </c>
      <c r="P3" s="24" t="s">
        <v>30</v>
      </c>
      <c r="Q3" s="27"/>
      <c r="R3" s="27"/>
      <c r="S3" s="28" t="s">
        <v>38</v>
      </c>
      <c r="T3" s="8" t="s">
        <v>39</v>
      </c>
      <c r="U3" s="29" t="e">
        <v>#N/A</v>
      </c>
      <c r="V3" s="21" t="s">
        <v>32</v>
      </c>
    </row>
    <row r="4">
      <c r="A4" s="30">
        <v>8.56591000109E11</v>
      </c>
      <c r="B4" s="20" t="s">
        <v>40</v>
      </c>
      <c r="C4" s="21">
        <v>0.15</v>
      </c>
      <c r="D4" s="21">
        <v>0.27</v>
      </c>
      <c r="E4" s="21">
        <v>0.05</v>
      </c>
      <c r="F4" s="22">
        <v>6.0</v>
      </c>
      <c r="G4" s="23"/>
      <c r="H4" s="24" t="s">
        <v>23</v>
      </c>
      <c r="I4" s="21" t="s">
        <v>24</v>
      </c>
      <c r="J4" s="24"/>
      <c r="K4" s="24" t="s">
        <v>41</v>
      </c>
      <c r="L4" s="20" t="s">
        <v>42</v>
      </c>
      <c r="M4" s="25" t="s">
        <v>43</v>
      </c>
      <c r="N4" s="26" t="s">
        <v>28</v>
      </c>
      <c r="O4" s="24" t="s">
        <v>29</v>
      </c>
      <c r="P4" s="24" t="s">
        <v>30</v>
      </c>
      <c r="Q4" s="27"/>
      <c r="R4" s="27"/>
      <c r="S4" s="28" t="s">
        <v>44</v>
      </c>
      <c r="T4" s="8" t="s">
        <v>43</v>
      </c>
      <c r="U4" s="29" t="s">
        <v>24</v>
      </c>
      <c r="V4" s="21" t="s">
        <v>32</v>
      </c>
    </row>
    <row r="5">
      <c r="A5" s="30">
        <v>7.290002771111E12</v>
      </c>
      <c r="B5" s="20" t="s">
        <v>45</v>
      </c>
      <c r="C5" s="21">
        <v>0.11</v>
      </c>
      <c r="D5" s="21">
        <v>0.15</v>
      </c>
      <c r="E5" s="21">
        <v>0.057</v>
      </c>
      <c r="F5" s="22">
        <v>5.0</v>
      </c>
      <c r="G5" s="23"/>
      <c r="H5" s="24" t="s">
        <v>46</v>
      </c>
      <c r="I5" s="21" t="s">
        <v>47</v>
      </c>
      <c r="J5" s="24"/>
      <c r="K5" s="24" t="s">
        <v>48</v>
      </c>
      <c r="L5" s="20" t="s">
        <v>49</v>
      </c>
      <c r="M5" s="25" t="s">
        <v>50</v>
      </c>
      <c r="N5" s="26" t="s">
        <v>37</v>
      </c>
      <c r="O5" s="24" t="s">
        <v>51</v>
      </c>
      <c r="P5" s="24" t="s">
        <v>52</v>
      </c>
      <c r="Q5" s="27"/>
      <c r="R5" s="27"/>
      <c r="S5" s="31" t="s">
        <v>53</v>
      </c>
      <c r="T5" s="8" t="s">
        <v>54</v>
      </c>
      <c r="U5" s="29" t="e">
        <v>#N/A</v>
      </c>
      <c r="V5" s="21" t="s">
        <v>55</v>
      </c>
    </row>
    <row r="6">
      <c r="A6" s="30">
        <v>7.290014760141E12</v>
      </c>
      <c r="B6" s="20" t="s">
        <v>56</v>
      </c>
      <c r="C6" s="21">
        <v>0.075</v>
      </c>
      <c r="D6" s="21">
        <v>0.232</v>
      </c>
      <c r="E6" s="21">
        <v>0.07</v>
      </c>
      <c r="F6" s="22">
        <v>4.0</v>
      </c>
      <c r="G6" s="23"/>
      <c r="H6" s="32" t="s">
        <v>57</v>
      </c>
      <c r="I6" s="21" t="s">
        <v>58</v>
      </c>
      <c r="J6" s="24"/>
      <c r="K6" s="24" t="s">
        <v>59</v>
      </c>
      <c r="L6" s="20" t="s">
        <v>60</v>
      </c>
      <c r="M6" s="25" t="s">
        <v>61</v>
      </c>
      <c r="N6" s="26" t="s">
        <v>28</v>
      </c>
      <c r="O6" s="24" t="s">
        <v>62</v>
      </c>
      <c r="P6" s="24" t="s">
        <v>63</v>
      </c>
      <c r="Q6" s="27"/>
      <c r="R6" s="27"/>
      <c r="S6" s="28" t="s">
        <v>64</v>
      </c>
      <c r="T6" s="8" t="s">
        <v>65</v>
      </c>
      <c r="U6" s="29" t="s">
        <v>58</v>
      </c>
      <c r="V6" s="24" t="str">
        <f>iferror(VLOOKUP(A6,'tagging table'!A:G,7,0),"")</f>
        <v>Dairy</v>
      </c>
    </row>
    <row r="7">
      <c r="A7" s="30">
        <v>4125578.0</v>
      </c>
      <c r="B7" s="20" t="s">
        <v>66</v>
      </c>
      <c r="C7" s="21">
        <v>0.08</v>
      </c>
      <c r="D7" s="21">
        <v>0.23</v>
      </c>
      <c r="E7" s="21">
        <v>0.07</v>
      </c>
      <c r="F7" s="22">
        <v>4.0</v>
      </c>
      <c r="G7" s="23"/>
      <c r="H7" s="32" t="s">
        <v>57</v>
      </c>
      <c r="I7" s="21" t="s">
        <v>67</v>
      </c>
      <c r="J7" s="24"/>
      <c r="K7" s="24" t="s">
        <v>68</v>
      </c>
      <c r="L7" s="20" t="s">
        <v>69</v>
      </c>
      <c r="M7" s="25" t="s">
        <v>70</v>
      </c>
      <c r="N7" s="26" t="s">
        <v>28</v>
      </c>
      <c r="O7" s="24" t="s">
        <v>71</v>
      </c>
      <c r="P7" s="24" t="s">
        <v>72</v>
      </c>
      <c r="Q7" s="27"/>
      <c r="R7" s="27"/>
      <c r="S7" s="28" t="s">
        <v>73</v>
      </c>
      <c r="T7" s="8" t="s">
        <v>74</v>
      </c>
      <c r="U7" s="29" t="s">
        <v>67</v>
      </c>
      <c r="V7" s="24" t="str">
        <f>iferror(VLOOKUP(A7,'tagging table'!A:G,7,0),"")</f>
        <v>Dairy</v>
      </c>
    </row>
    <row r="8">
      <c r="A8" s="30">
        <v>7.290110325619E12</v>
      </c>
      <c r="B8" s="20" t="s">
        <v>75</v>
      </c>
      <c r="C8" s="21">
        <v>0.08</v>
      </c>
      <c r="D8" s="21">
        <v>0.23</v>
      </c>
      <c r="E8" s="21">
        <v>0.08</v>
      </c>
      <c r="F8" s="22">
        <v>4.0</v>
      </c>
      <c r="G8" s="23"/>
      <c r="H8" s="32" t="s">
        <v>57</v>
      </c>
      <c r="I8" s="21" t="s">
        <v>67</v>
      </c>
      <c r="J8" s="24"/>
      <c r="K8" s="24" t="s">
        <v>76</v>
      </c>
      <c r="L8" s="20" t="s">
        <v>77</v>
      </c>
      <c r="M8" s="25" t="s">
        <v>78</v>
      </c>
      <c r="N8" s="26" t="s">
        <v>28</v>
      </c>
      <c r="O8" s="24" t="s">
        <v>62</v>
      </c>
      <c r="P8" s="24" t="s">
        <v>63</v>
      </c>
      <c r="Q8" s="27"/>
      <c r="R8" s="27"/>
      <c r="S8" s="28" t="s">
        <v>79</v>
      </c>
      <c r="T8" s="8" t="s">
        <v>80</v>
      </c>
      <c r="U8" s="29" t="s">
        <v>67</v>
      </c>
      <c r="V8" s="24" t="str">
        <f>iferror(VLOOKUP(A8,'tagging table'!A:G,7,0),"")</f>
        <v>Dairy</v>
      </c>
    </row>
    <row r="9">
      <c r="A9" s="30">
        <v>4125585.0</v>
      </c>
      <c r="B9" s="20" t="s">
        <v>81</v>
      </c>
      <c r="C9" s="21">
        <v>0.08</v>
      </c>
      <c r="D9" s="21">
        <v>0.23</v>
      </c>
      <c r="E9" s="21">
        <v>0.07</v>
      </c>
      <c r="F9" s="22">
        <v>4.0</v>
      </c>
      <c r="G9" s="23"/>
      <c r="H9" s="32" t="s">
        <v>57</v>
      </c>
      <c r="I9" s="21" t="s">
        <v>67</v>
      </c>
      <c r="J9" s="24"/>
      <c r="K9" s="24" t="s">
        <v>82</v>
      </c>
      <c r="L9" s="20" t="s">
        <v>83</v>
      </c>
      <c r="M9" s="25" t="s">
        <v>84</v>
      </c>
      <c r="N9" s="26" t="s">
        <v>28</v>
      </c>
      <c r="O9" s="24" t="s">
        <v>71</v>
      </c>
      <c r="P9" s="24" t="s">
        <v>85</v>
      </c>
      <c r="Q9" s="27"/>
      <c r="R9" s="27"/>
      <c r="S9" s="28" t="s">
        <v>86</v>
      </c>
      <c r="T9" s="8" t="s">
        <v>87</v>
      </c>
      <c r="U9" s="29" t="s">
        <v>67</v>
      </c>
      <c r="V9" s="24" t="str">
        <f>iferror(VLOOKUP(A9,'tagging table'!A:G,7,0),"")</f>
        <v>Dairy</v>
      </c>
    </row>
    <row r="10">
      <c r="A10" s="30">
        <v>7.290014763289E12</v>
      </c>
      <c r="B10" s="20" t="s">
        <v>88</v>
      </c>
      <c r="C10" s="21">
        <v>0.06</v>
      </c>
      <c r="D10" s="21">
        <v>0.16</v>
      </c>
      <c r="E10" s="21">
        <v>0.075</v>
      </c>
      <c r="F10" s="22">
        <v>4.0</v>
      </c>
      <c r="G10" s="23"/>
      <c r="H10" s="32" t="s">
        <v>57</v>
      </c>
      <c r="I10" s="21" t="s">
        <v>89</v>
      </c>
      <c r="J10" s="24"/>
      <c r="K10" s="24" t="s">
        <v>90</v>
      </c>
      <c r="L10" s="20" t="s">
        <v>91</v>
      </c>
      <c r="M10" s="25" t="s">
        <v>92</v>
      </c>
      <c r="N10" s="26" t="s">
        <v>28</v>
      </c>
      <c r="O10" s="24" t="s">
        <v>93</v>
      </c>
      <c r="P10" s="24" t="s">
        <v>94</v>
      </c>
      <c r="Q10" s="27"/>
      <c r="R10" s="27"/>
      <c r="S10" s="28" t="s">
        <v>95</v>
      </c>
      <c r="T10" s="8" t="s">
        <v>96</v>
      </c>
      <c r="U10" s="29" t="s">
        <v>89</v>
      </c>
      <c r="V10" s="24" t="str">
        <f>iferror(VLOOKUP(A10,'tagging table'!A:G,7,0),"")</f>
        <v>Dairy</v>
      </c>
    </row>
    <row r="11">
      <c r="A11" s="30">
        <v>7.290014763272E12</v>
      </c>
      <c r="B11" s="20" t="s">
        <v>97</v>
      </c>
      <c r="C11" s="21">
        <v>0.06</v>
      </c>
      <c r="D11" s="21">
        <v>0.16</v>
      </c>
      <c r="E11" s="21">
        <v>0.075</v>
      </c>
      <c r="F11" s="22">
        <v>4.0</v>
      </c>
      <c r="G11" s="23"/>
      <c r="H11" s="32" t="s">
        <v>57</v>
      </c>
      <c r="I11" s="21" t="s">
        <v>89</v>
      </c>
      <c r="J11" s="24"/>
      <c r="K11" s="24" t="s">
        <v>98</v>
      </c>
      <c r="L11" s="20" t="s">
        <v>99</v>
      </c>
      <c r="M11" s="25" t="s">
        <v>100</v>
      </c>
      <c r="N11" s="26" t="s">
        <v>28</v>
      </c>
      <c r="O11" s="24" t="s">
        <v>93</v>
      </c>
      <c r="P11" s="24" t="s">
        <v>94</v>
      </c>
      <c r="Q11" s="27"/>
      <c r="R11" s="27"/>
      <c r="S11" s="28" t="s">
        <v>101</v>
      </c>
      <c r="T11" s="8" t="s">
        <v>102</v>
      </c>
      <c r="U11" s="29" t="s">
        <v>89</v>
      </c>
      <c r="V11" s="24" t="str">
        <f>iferror(VLOOKUP(A11,'tagging table'!A:G,7,0),"")</f>
        <v>Dairy</v>
      </c>
    </row>
    <row r="12">
      <c r="A12" s="30">
        <v>7.290000066349E12</v>
      </c>
      <c r="B12" s="20" t="s">
        <v>103</v>
      </c>
      <c r="C12" s="21">
        <v>0.145</v>
      </c>
      <c r="D12" s="21">
        <v>0.225</v>
      </c>
      <c r="E12" s="21">
        <v>0.06</v>
      </c>
      <c r="F12" s="22">
        <v>5.0</v>
      </c>
      <c r="G12" s="23"/>
      <c r="H12" s="24" t="s">
        <v>104</v>
      </c>
      <c r="I12" s="21" t="s">
        <v>105</v>
      </c>
      <c r="J12" s="24"/>
      <c r="K12" s="24" t="s">
        <v>106</v>
      </c>
      <c r="L12" s="20" t="s">
        <v>107</v>
      </c>
      <c r="M12" s="25" t="s">
        <v>108</v>
      </c>
      <c r="N12" s="26" t="s">
        <v>37</v>
      </c>
      <c r="O12" s="24" t="s">
        <v>109</v>
      </c>
      <c r="P12" s="24" t="s">
        <v>110</v>
      </c>
      <c r="Q12" s="27"/>
      <c r="R12" s="27"/>
      <c r="S12" s="28" t="s">
        <v>111</v>
      </c>
      <c r="T12" s="8" t="s">
        <v>112</v>
      </c>
      <c r="U12" s="29" t="e">
        <v>#N/A</v>
      </c>
      <c r="V12" s="21" t="s">
        <v>113</v>
      </c>
    </row>
    <row r="13">
      <c r="A13" s="30">
        <v>7.290000066332E12</v>
      </c>
      <c r="B13" s="20" t="s">
        <v>114</v>
      </c>
      <c r="C13" s="21">
        <v>0.125</v>
      </c>
      <c r="D13" s="21">
        <v>0.1665</v>
      </c>
      <c r="E13" s="21">
        <v>0.06</v>
      </c>
      <c r="F13" s="22">
        <v>5.0</v>
      </c>
      <c r="G13" s="23"/>
      <c r="H13" s="24" t="s">
        <v>104</v>
      </c>
      <c r="I13" s="21" t="s">
        <v>105</v>
      </c>
      <c r="J13" s="24"/>
      <c r="K13" s="24" t="s">
        <v>115</v>
      </c>
      <c r="L13" s="20" t="s">
        <v>116</v>
      </c>
      <c r="M13" s="25" t="s">
        <v>117</v>
      </c>
      <c r="N13" s="26" t="s">
        <v>37</v>
      </c>
      <c r="O13" s="24" t="s">
        <v>109</v>
      </c>
      <c r="P13" s="24" t="s">
        <v>110</v>
      </c>
      <c r="Q13" s="27"/>
      <c r="R13" s="27"/>
      <c r="S13" s="28" t="s">
        <v>118</v>
      </c>
      <c r="T13" s="8" t="s">
        <v>119</v>
      </c>
      <c r="U13" s="29" t="e">
        <v>#N/A</v>
      </c>
      <c r="V13" s="21" t="s">
        <v>113</v>
      </c>
    </row>
    <row r="14">
      <c r="A14" s="30">
        <v>7.290104500572E12</v>
      </c>
      <c r="B14" s="20" t="s">
        <v>120</v>
      </c>
      <c r="C14" s="21">
        <v>0.125</v>
      </c>
      <c r="D14" s="21">
        <v>0.1665</v>
      </c>
      <c r="E14" s="21">
        <v>0.06</v>
      </c>
      <c r="F14" s="22">
        <v>5.0</v>
      </c>
      <c r="G14" s="23"/>
      <c r="H14" s="24" t="s">
        <v>104</v>
      </c>
      <c r="I14" s="21" t="s">
        <v>105</v>
      </c>
      <c r="J14" s="24"/>
      <c r="K14" s="24" t="s">
        <v>121</v>
      </c>
      <c r="L14" s="20" t="s">
        <v>122</v>
      </c>
      <c r="M14" s="25" t="s">
        <v>123</v>
      </c>
      <c r="N14" s="26" t="s">
        <v>28</v>
      </c>
      <c r="O14" s="24" t="s">
        <v>109</v>
      </c>
      <c r="P14" s="24" t="s">
        <v>110</v>
      </c>
      <c r="Q14" s="27"/>
      <c r="R14" s="27"/>
      <c r="S14" s="28" t="s">
        <v>124</v>
      </c>
      <c r="T14" s="8" t="s">
        <v>123</v>
      </c>
      <c r="U14" s="29" t="s">
        <v>105</v>
      </c>
      <c r="V14" s="21" t="s">
        <v>113</v>
      </c>
    </row>
    <row r="15">
      <c r="A15" s="30">
        <v>7.290106576223E12</v>
      </c>
      <c r="B15" s="20" t="s">
        <v>125</v>
      </c>
      <c r="C15" s="21">
        <v>0.13</v>
      </c>
      <c r="D15" s="21">
        <v>0.12</v>
      </c>
      <c r="E15" s="21">
        <v>0.04</v>
      </c>
      <c r="F15" s="22">
        <v>8.0</v>
      </c>
      <c r="G15" s="23"/>
      <c r="H15" s="24" t="s">
        <v>104</v>
      </c>
      <c r="I15" s="21" t="s">
        <v>105</v>
      </c>
      <c r="J15" s="24"/>
      <c r="K15" s="24" t="s">
        <v>126</v>
      </c>
      <c r="L15" s="20" t="s">
        <v>127</v>
      </c>
      <c r="M15" s="25" t="s">
        <v>128</v>
      </c>
      <c r="N15" s="26" t="s">
        <v>28</v>
      </c>
      <c r="O15" s="24" t="s">
        <v>109</v>
      </c>
      <c r="P15" s="24" t="s">
        <v>110</v>
      </c>
      <c r="Q15" s="27"/>
      <c r="R15" s="27"/>
      <c r="S15" s="28" t="s">
        <v>129</v>
      </c>
      <c r="T15" s="8" t="s">
        <v>128</v>
      </c>
      <c r="U15" s="29" t="s">
        <v>105</v>
      </c>
      <c r="V15" s="21" t="s">
        <v>113</v>
      </c>
    </row>
    <row r="16">
      <c r="A16" s="30">
        <v>7.290013038432E12</v>
      </c>
      <c r="B16" s="20" t="s">
        <v>130</v>
      </c>
      <c r="C16" s="21">
        <v>0.09999999</v>
      </c>
      <c r="D16" s="21">
        <v>0.35</v>
      </c>
      <c r="E16" s="21">
        <v>0.09</v>
      </c>
      <c r="F16" s="22">
        <v>3.0</v>
      </c>
      <c r="G16" s="23"/>
      <c r="H16" s="24" t="s">
        <v>131</v>
      </c>
      <c r="I16" s="21" t="s">
        <v>132</v>
      </c>
      <c r="J16" s="20" t="s">
        <v>133</v>
      </c>
      <c r="K16" s="24" t="s">
        <v>134</v>
      </c>
      <c r="L16" s="20" t="s">
        <v>135</v>
      </c>
      <c r="M16" s="25" t="s">
        <v>136</v>
      </c>
      <c r="N16" s="26" t="s">
        <v>28</v>
      </c>
      <c r="O16" s="24" t="s">
        <v>137</v>
      </c>
      <c r="P16" s="24" t="s">
        <v>138</v>
      </c>
      <c r="Q16" s="27"/>
      <c r="R16" s="27"/>
      <c r="S16" s="28" t="s">
        <v>139</v>
      </c>
      <c r="T16" s="8" t="s">
        <v>140</v>
      </c>
      <c r="U16" s="29" t="s">
        <v>141</v>
      </c>
      <c r="V16" s="24" t="str">
        <f>VLOOKUP(A16,'tagging table'!A:G,7,0)</f>
        <v>Drinks</v>
      </c>
    </row>
    <row r="17">
      <c r="A17" s="30">
        <v>6.13008753382E11</v>
      </c>
      <c r="B17" s="20" t="s">
        <v>142</v>
      </c>
      <c r="C17" s="21">
        <v>0.065</v>
      </c>
      <c r="D17" s="21">
        <v>0.2</v>
      </c>
      <c r="E17" s="21">
        <v>0.065</v>
      </c>
      <c r="F17" s="22">
        <v>5.0</v>
      </c>
      <c r="G17" s="23"/>
      <c r="H17" s="24" t="s">
        <v>143</v>
      </c>
      <c r="I17" s="21" t="s">
        <v>144</v>
      </c>
      <c r="J17" s="20" t="s">
        <v>145</v>
      </c>
      <c r="K17" s="24" t="s">
        <v>146</v>
      </c>
      <c r="L17" s="20" t="s">
        <v>147</v>
      </c>
      <c r="M17" s="25" t="s">
        <v>148</v>
      </c>
      <c r="N17" s="26" t="s">
        <v>28</v>
      </c>
      <c r="O17" s="24" t="s">
        <v>149</v>
      </c>
      <c r="P17" s="24" t="s">
        <v>150</v>
      </c>
      <c r="Q17" s="27"/>
      <c r="R17" s="27"/>
      <c r="S17" s="28" t="s">
        <v>151</v>
      </c>
      <c r="T17" s="8" t="s">
        <v>152</v>
      </c>
      <c r="U17" s="29" t="s">
        <v>144</v>
      </c>
      <c r="V17" s="24" t="str">
        <f>VLOOKUP(A17,'tagging table'!A:G,7,0)</f>
        <v>Drinks</v>
      </c>
    </row>
    <row r="18">
      <c r="A18" s="30">
        <v>6.1300875332E11</v>
      </c>
      <c r="B18" s="20" t="s">
        <v>153</v>
      </c>
      <c r="C18" s="21">
        <v>0.065</v>
      </c>
      <c r="D18" s="21">
        <v>0.2</v>
      </c>
      <c r="E18" s="21">
        <v>0.065</v>
      </c>
      <c r="F18" s="22">
        <v>5.0</v>
      </c>
      <c r="G18" s="23"/>
      <c r="H18" s="24" t="s">
        <v>143</v>
      </c>
      <c r="I18" s="21" t="s">
        <v>144</v>
      </c>
      <c r="J18" s="20" t="s">
        <v>145</v>
      </c>
      <c r="K18" s="24" t="s">
        <v>154</v>
      </c>
      <c r="L18" s="20" t="s">
        <v>155</v>
      </c>
      <c r="M18" s="25" t="s">
        <v>156</v>
      </c>
      <c r="N18" s="26" t="s">
        <v>28</v>
      </c>
      <c r="O18" s="24" t="s">
        <v>149</v>
      </c>
      <c r="P18" s="24" t="s">
        <v>150</v>
      </c>
      <c r="Q18" s="27"/>
      <c r="R18" s="27"/>
      <c r="S18" s="28" t="s">
        <v>157</v>
      </c>
      <c r="T18" s="8" t="s">
        <v>158</v>
      </c>
      <c r="U18" s="29" t="s">
        <v>144</v>
      </c>
      <c r="V18" s="24" t="str">
        <f>VLOOKUP(A18,'tagging table'!A:G,7,0)</f>
        <v>Drinks</v>
      </c>
    </row>
    <row r="19">
      <c r="A19" s="30">
        <v>6.13008742348E11</v>
      </c>
      <c r="B19" s="20" t="s">
        <v>159</v>
      </c>
      <c r="C19" s="21">
        <v>0.08</v>
      </c>
      <c r="D19" s="21">
        <v>0.28</v>
      </c>
      <c r="E19" s="21">
        <v>0.08</v>
      </c>
      <c r="F19" s="22">
        <v>4.0</v>
      </c>
      <c r="G19" s="23"/>
      <c r="H19" s="24" t="s">
        <v>143</v>
      </c>
      <c r="I19" s="21" t="s">
        <v>144</v>
      </c>
      <c r="J19" s="20" t="s">
        <v>145</v>
      </c>
      <c r="K19" s="24" t="s">
        <v>160</v>
      </c>
      <c r="L19" s="20" t="s">
        <v>161</v>
      </c>
      <c r="M19" s="25" t="s">
        <v>162</v>
      </c>
      <c r="N19" s="26" t="s">
        <v>28</v>
      </c>
      <c r="O19" s="24" t="s">
        <v>149</v>
      </c>
      <c r="P19" s="24" t="s">
        <v>163</v>
      </c>
      <c r="Q19" s="27"/>
      <c r="R19" s="27"/>
      <c r="S19" s="28" t="s">
        <v>164</v>
      </c>
      <c r="T19" s="8" t="s">
        <v>165</v>
      </c>
      <c r="U19" s="29" t="s">
        <v>144</v>
      </c>
      <c r="V19" s="24" t="str">
        <f>VLOOKUP(A19,'tagging table'!A:G,7,0)</f>
        <v>Drinks</v>
      </c>
    </row>
    <row r="20">
      <c r="A20" s="30">
        <v>6.13008742409E11</v>
      </c>
      <c r="B20" s="20" t="s">
        <v>166</v>
      </c>
      <c r="C20" s="21">
        <v>0.08</v>
      </c>
      <c r="D20" s="21">
        <v>0.28</v>
      </c>
      <c r="E20" s="21">
        <v>0.08</v>
      </c>
      <c r="F20" s="22">
        <v>4.0</v>
      </c>
      <c r="G20" s="23"/>
      <c r="H20" s="24" t="s">
        <v>143</v>
      </c>
      <c r="I20" s="21" t="s">
        <v>144</v>
      </c>
      <c r="J20" s="20" t="s">
        <v>145</v>
      </c>
      <c r="K20" s="24" t="s">
        <v>167</v>
      </c>
      <c r="L20" s="20" t="s">
        <v>168</v>
      </c>
      <c r="M20" s="25" t="s">
        <v>169</v>
      </c>
      <c r="N20" s="26" t="s">
        <v>28</v>
      </c>
      <c r="O20" s="24" t="s">
        <v>149</v>
      </c>
      <c r="P20" s="24" t="s">
        <v>163</v>
      </c>
      <c r="Q20" s="27"/>
      <c r="R20" s="27"/>
      <c r="S20" s="31" t="s">
        <v>170</v>
      </c>
      <c r="T20" s="33" t="s">
        <v>171</v>
      </c>
      <c r="U20" s="29" t="s">
        <v>144</v>
      </c>
      <c r="V20" s="24" t="str">
        <f>VLOOKUP(A20,'tagging table'!A:G,7,0)</f>
        <v>Drinks</v>
      </c>
    </row>
    <row r="21">
      <c r="A21" s="30">
        <v>6.1300875329E11</v>
      </c>
      <c r="B21" s="20" t="s">
        <v>172</v>
      </c>
      <c r="C21" s="21">
        <v>0.065</v>
      </c>
      <c r="D21" s="21">
        <v>0.2</v>
      </c>
      <c r="E21" s="21">
        <v>0.065</v>
      </c>
      <c r="F21" s="22">
        <v>5.0</v>
      </c>
      <c r="G21" s="23"/>
      <c r="H21" s="24" t="s">
        <v>143</v>
      </c>
      <c r="I21" s="21" t="s">
        <v>144</v>
      </c>
      <c r="J21" s="20" t="s">
        <v>145</v>
      </c>
      <c r="K21" s="24" t="s">
        <v>173</v>
      </c>
      <c r="L21" s="20" t="s">
        <v>174</v>
      </c>
      <c r="M21" s="25" t="s">
        <v>175</v>
      </c>
      <c r="N21" s="26" t="s">
        <v>28</v>
      </c>
      <c r="O21" s="24" t="s">
        <v>149</v>
      </c>
      <c r="P21" s="24" t="s">
        <v>150</v>
      </c>
      <c r="Q21" s="27"/>
      <c r="R21" s="27"/>
      <c r="S21" s="28" t="s">
        <v>176</v>
      </c>
      <c r="T21" s="8" t="s">
        <v>177</v>
      </c>
      <c r="U21" s="29" t="s">
        <v>144</v>
      </c>
      <c r="V21" s="24" t="str">
        <f>VLOOKUP(A21,'tagging table'!A:G,7,0)</f>
        <v>Drinks</v>
      </c>
    </row>
    <row r="22">
      <c r="A22" s="30">
        <v>7.290106656512E12</v>
      </c>
      <c r="B22" s="20" t="s">
        <v>178</v>
      </c>
      <c r="C22" s="21">
        <v>0.15</v>
      </c>
      <c r="D22" s="21">
        <v>0.23</v>
      </c>
      <c r="E22" s="21">
        <v>0.035</v>
      </c>
      <c r="F22" s="22">
        <v>9.0</v>
      </c>
      <c r="G22" s="23"/>
      <c r="H22" s="32" t="s">
        <v>179</v>
      </c>
      <c r="I22" s="34" t="s">
        <v>180</v>
      </c>
      <c r="J22" s="21" t="s">
        <v>181</v>
      </c>
      <c r="K22" s="24" t="s">
        <v>182</v>
      </c>
      <c r="L22" s="20" t="s">
        <v>183</v>
      </c>
      <c r="M22" s="25" t="s">
        <v>184</v>
      </c>
      <c r="N22" s="26" t="s">
        <v>28</v>
      </c>
      <c r="O22" s="24" t="s">
        <v>185</v>
      </c>
      <c r="P22" s="24" t="s">
        <v>186</v>
      </c>
      <c r="Q22" s="27"/>
      <c r="R22" s="27"/>
      <c r="S22" s="28" t="s">
        <v>187</v>
      </c>
      <c r="T22" s="8" t="s">
        <v>188</v>
      </c>
      <c r="U22" s="29" t="s">
        <v>189</v>
      </c>
      <c r="V22" s="24" t="str">
        <f>iferror(VLOOKUP(A22,'tagging table'!A:G,7,0),"")</f>
        <v>Waffles &amp; cookies</v>
      </c>
    </row>
    <row r="23">
      <c r="A23" s="30">
        <v>7.290112334879E12</v>
      </c>
      <c r="B23" s="20" t="s">
        <v>190</v>
      </c>
      <c r="C23" s="21">
        <v>0.08</v>
      </c>
      <c r="D23" s="21">
        <v>0.112</v>
      </c>
      <c r="E23" s="21">
        <v>0.03</v>
      </c>
      <c r="F23" s="22">
        <v>10.0</v>
      </c>
      <c r="G23" s="23"/>
      <c r="H23" s="24" t="s">
        <v>191</v>
      </c>
      <c r="I23" s="21" t="s">
        <v>189</v>
      </c>
      <c r="J23" s="24"/>
      <c r="K23" s="24" t="s">
        <v>192</v>
      </c>
      <c r="L23" s="20" t="s">
        <v>193</v>
      </c>
      <c r="M23" s="25" t="s">
        <v>194</v>
      </c>
      <c r="N23" s="26" t="s">
        <v>28</v>
      </c>
      <c r="O23" s="24" t="s">
        <v>185</v>
      </c>
      <c r="P23" s="24" t="s">
        <v>195</v>
      </c>
      <c r="Q23" s="27"/>
      <c r="R23" s="27"/>
      <c r="S23" s="28" t="s">
        <v>196</v>
      </c>
      <c r="T23" s="8" t="s">
        <v>197</v>
      </c>
      <c r="U23" s="29" t="s">
        <v>198</v>
      </c>
      <c r="V23" s="24" t="str">
        <f>VLOOKUP(A23,'tagging table'!A:G,7,0)</f>
        <v>Cashiers</v>
      </c>
    </row>
    <row r="24">
      <c r="A24" s="30">
        <v>7.290107951104E12</v>
      </c>
      <c r="B24" s="20" t="s">
        <v>199</v>
      </c>
      <c r="C24" s="21">
        <v>0.135</v>
      </c>
      <c r="D24" s="21">
        <v>0.2</v>
      </c>
      <c r="E24" s="21">
        <v>0.035</v>
      </c>
      <c r="F24" s="22">
        <v>9.0</v>
      </c>
      <c r="G24" s="23"/>
      <c r="H24" s="32" t="s">
        <v>179</v>
      </c>
      <c r="I24" s="21" t="s">
        <v>180</v>
      </c>
      <c r="J24" s="21" t="s">
        <v>181</v>
      </c>
      <c r="K24" s="24" t="s">
        <v>200</v>
      </c>
      <c r="L24" s="20" t="s">
        <v>201</v>
      </c>
      <c r="M24" s="25" t="s">
        <v>202</v>
      </c>
      <c r="N24" s="26" t="s">
        <v>28</v>
      </c>
      <c r="O24" s="24" t="s">
        <v>185</v>
      </c>
      <c r="P24" s="24" t="s">
        <v>195</v>
      </c>
      <c r="Q24" s="27"/>
      <c r="R24" s="27"/>
      <c r="S24" s="28" t="s">
        <v>203</v>
      </c>
      <c r="T24" s="8" t="s">
        <v>204</v>
      </c>
      <c r="U24" s="29" t="s">
        <v>189</v>
      </c>
      <c r="V24" s="24" t="str">
        <f>iferror(VLOOKUP(A24,'tagging table'!A:G,7,0),"")</f>
        <v>Waffles &amp; cookies</v>
      </c>
    </row>
    <row r="25">
      <c r="A25" s="30">
        <v>7.290000174099E12</v>
      </c>
      <c r="B25" s="20" t="s">
        <v>205</v>
      </c>
      <c r="C25" s="21">
        <v>0.15</v>
      </c>
      <c r="D25" s="21">
        <v>0.23</v>
      </c>
      <c r="E25" s="21">
        <v>0.035</v>
      </c>
      <c r="F25" s="22">
        <v>9.0</v>
      </c>
      <c r="G25" s="23"/>
      <c r="H25" s="32" t="s">
        <v>179</v>
      </c>
      <c r="I25" s="21" t="s">
        <v>180</v>
      </c>
      <c r="J25" s="21" t="s">
        <v>181</v>
      </c>
      <c r="K25" s="24" t="s">
        <v>206</v>
      </c>
      <c r="L25" s="20" t="s">
        <v>207</v>
      </c>
      <c r="M25" s="25" t="s">
        <v>208</v>
      </c>
      <c r="N25" s="26" t="s">
        <v>37</v>
      </c>
      <c r="O25" s="24" t="s">
        <v>185</v>
      </c>
      <c r="P25" s="24" t="s">
        <v>195</v>
      </c>
      <c r="Q25" s="27"/>
      <c r="R25" s="27"/>
      <c r="S25" s="28" t="s">
        <v>209</v>
      </c>
      <c r="T25" s="8" t="s">
        <v>210</v>
      </c>
      <c r="U25" s="29" t="e">
        <v>#N/A</v>
      </c>
      <c r="V25" s="21" t="s">
        <v>211</v>
      </c>
    </row>
    <row r="26">
      <c r="A26" s="30">
        <v>7.290008753883E12</v>
      </c>
      <c r="B26" s="20" t="s">
        <v>212</v>
      </c>
      <c r="C26" s="21">
        <v>0.15</v>
      </c>
      <c r="D26" s="21">
        <v>0.23</v>
      </c>
      <c r="E26" s="21">
        <v>0.035</v>
      </c>
      <c r="F26" s="22">
        <v>9.0</v>
      </c>
      <c r="G26" s="23"/>
      <c r="H26" s="32" t="s">
        <v>179</v>
      </c>
      <c r="I26" s="21" t="s">
        <v>180</v>
      </c>
      <c r="J26" s="35" t="s">
        <v>181</v>
      </c>
      <c r="K26" s="36" t="s">
        <v>213</v>
      </c>
      <c r="L26" s="20" t="s">
        <v>214</v>
      </c>
      <c r="M26" s="25" t="s">
        <v>215</v>
      </c>
      <c r="N26" s="26" t="s">
        <v>37</v>
      </c>
      <c r="O26" s="24" t="s">
        <v>185</v>
      </c>
      <c r="P26" s="24" t="s">
        <v>195</v>
      </c>
      <c r="Q26" s="27"/>
      <c r="R26" s="27"/>
      <c r="S26" s="28" t="s">
        <v>216</v>
      </c>
      <c r="T26" s="8" t="s">
        <v>217</v>
      </c>
      <c r="U26" s="29" t="e">
        <v>#N/A</v>
      </c>
      <c r="V26" s="21" t="s">
        <v>211</v>
      </c>
    </row>
    <row r="27">
      <c r="A27" s="30">
        <v>7.290107944243E12</v>
      </c>
      <c r="B27" s="20" t="s">
        <v>218</v>
      </c>
      <c r="C27" s="21">
        <v>0.15</v>
      </c>
      <c r="D27" s="21">
        <v>0.23</v>
      </c>
      <c r="E27" s="21">
        <v>0.035</v>
      </c>
      <c r="F27" s="22">
        <v>9.0</v>
      </c>
      <c r="G27" s="23"/>
      <c r="H27" s="32" t="s">
        <v>179</v>
      </c>
      <c r="I27" s="21" t="s">
        <v>180</v>
      </c>
      <c r="J27" s="35" t="s">
        <v>181</v>
      </c>
      <c r="K27" s="36" t="s">
        <v>219</v>
      </c>
      <c r="L27" s="20" t="s">
        <v>220</v>
      </c>
      <c r="M27" s="25" t="s">
        <v>221</v>
      </c>
      <c r="N27" s="26" t="s">
        <v>37</v>
      </c>
      <c r="O27" s="24"/>
      <c r="P27" s="24"/>
      <c r="Q27" s="27"/>
      <c r="R27" s="27"/>
      <c r="S27" s="31"/>
      <c r="T27" s="33"/>
      <c r="U27" s="29"/>
      <c r="V27" s="21" t="s">
        <v>211</v>
      </c>
    </row>
    <row r="28">
      <c r="A28" s="30">
        <v>7.290107951111E12</v>
      </c>
      <c r="B28" s="20" t="s">
        <v>222</v>
      </c>
      <c r="C28" s="21">
        <v>0.135</v>
      </c>
      <c r="D28" s="21">
        <v>0.2</v>
      </c>
      <c r="E28" s="21">
        <v>0.035</v>
      </c>
      <c r="F28" s="22">
        <v>9.0</v>
      </c>
      <c r="G28" s="23"/>
      <c r="H28" s="32" t="s">
        <v>179</v>
      </c>
      <c r="I28" s="21" t="s">
        <v>180</v>
      </c>
      <c r="J28" s="35" t="s">
        <v>181</v>
      </c>
      <c r="K28" s="36" t="s">
        <v>223</v>
      </c>
      <c r="L28" s="20" t="s">
        <v>224</v>
      </c>
      <c r="M28" s="25" t="s">
        <v>225</v>
      </c>
      <c r="N28" s="26" t="s">
        <v>28</v>
      </c>
      <c r="O28" s="24" t="s">
        <v>185</v>
      </c>
      <c r="P28" s="24" t="s">
        <v>226</v>
      </c>
      <c r="Q28" s="27"/>
      <c r="R28" s="27"/>
      <c r="S28" s="28" t="s">
        <v>227</v>
      </c>
      <c r="T28" s="8" t="s">
        <v>228</v>
      </c>
      <c r="U28" s="29" t="s">
        <v>189</v>
      </c>
      <c r="V28" s="24" t="str">
        <f>iferror(VLOOKUP(A28,'tagging table'!A:G,7,0),"")</f>
        <v>Waffles &amp; cookies</v>
      </c>
    </row>
    <row r="29">
      <c r="A29" s="30">
        <v>7.290107943048E12</v>
      </c>
      <c r="B29" s="20" t="s">
        <v>229</v>
      </c>
      <c r="C29" s="21">
        <v>0.08</v>
      </c>
      <c r="D29" s="21">
        <v>0.112</v>
      </c>
      <c r="E29" s="21">
        <v>0.03</v>
      </c>
      <c r="F29" s="22">
        <v>10.0</v>
      </c>
      <c r="G29" s="23"/>
      <c r="H29" s="32" t="s">
        <v>230</v>
      </c>
      <c r="I29" s="34" t="s">
        <v>198</v>
      </c>
      <c r="J29" s="24"/>
      <c r="K29" s="24" t="s">
        <v>231</v>
      </c>
      <c r="L29" s="20" t="s">
        <v>232</v>
      </c>
      <c r="M29" s="25" t="s">
        <v>233</v>
      </c>
      <c r="N29" s="26" t="s">
        <v>28</v>
      </c>
      <c r="O29" s="24" t="s">
        <v>185</v>
      </c>
      <c r="P29" s="24" t="s">
        <v>186</v>
      </c>
      <c r="Q29" s="27"/>
      <c r="R29" s="27"/>
      <c r="S29" s="28" t="s">
        <v>234</v>
      </c>
      <c r="T29" s="8" t="s">
        <v>235</v>
      </c>
      <c r="U29" s="29" t="s">
        <v>198</v>
      </c>
      <c r="V29" s="24" t="str">
        <f>iferror(VLOOKUP(A29,'tagging table'!A:G,7,0),"")</f>
        <v>Cashiers</v>
      </c>
    </row>
    <row r="30">
      <c r="A30" s="30">
        <v>7.290107945332E12</v>
      </c>
      <c r="B30" s="20" t="s">
        <v>236</v>
      </c>
      <c r="C30" s="21">
        <v>0.08</v>
      </c>
      <c r="D30" s="21">
        <v>0.112</v>
      </c>
      <c r="E30" s="21">
        <v>0.03</v>
      </c>
      <c r="F30" s="22">
        <v>10.0</v>
      </c>
      <c r="G30" s="23"/>
      <c r="H30" s="32" t="s">
        <v>237</v>
      </c>
      <c r="I30" s="21" t="s">
        <v>198</v>
      </c>
      <c r="J30" s="24"/>
      <c r="K30" s="24" t="s">
        <v>238</v>
      </c>
      <c r="L30" s="20" t="s">
        <v>239</v>
      </c>
      <c r="M30" s="25" t="s">
        <v>240</v>
      </c>
      <c r="N30" s="26" t="s">
        <v>28</v>
      </c>
      <c r="O30" s="24" t="s">
        <v>185</v>
      </c>
      <c r="P30" s="24" t="s">
        <v>241</v>
      </c>
      <c r="Q30" s="27"/>
      <c r="R30" s="27"/>
      <c r="S30" s="31" t="s">
        <v>242</v>
      </c>
      <c r="T30" s="33" t="s">
        <v>243</v>
      </c>
      <c r="U30" s="29" t="s">
        <v>198</v>
      </c>
      <c r="V30" s="24" t="str">
        <f>iferror(VLOOKUP(A30,'tagging table'!A:G,7,0),"")</f>
        <v>Cashiers</v>
      </c>
    </row>
    <row r="31">
      <c r="A31" s="30">
        <v>7.290000066318E12</v>
      </c>
      <c r="B31" s="20" t="s">
        <v>244</v>
      </c>
      <c r="C31" s="21">
        <v>0.128</v>
      </c>
      <c r="D31" s="21">
        <v>0.23</v>
      </c>
      <c r="E31" s="21">
        <v>0.056</v>
      </c>
      <c r="F31" s="22">
        <v>5.0</v>
      </c>
      <c r="G31" s="23"/>
      <c r="H31" s="24" t="s">
        <v>245</v>
      </c>
      <c r="I31" s="21" t="s">
        <v>246</v>
      </c>
      <c r="J31" s="24"/>
      <c r="K31" s="24" t="s">
        <v>247</v>
      </c>
      <c r="L31" s="20" t="s">
        <v>248</v>
      </c>
      <c r="M31" s="25" t="s">
        <v>249</v>
      </c>
      <c r="N31" s="26" t="s">
        <v>37</v>
      </c>
      <c r="O31" s="24" t="s">
        <v>109</v>
      </c>
      <c r="P31" s="24" t="s">
        <v>250</v>
      </c>
      <c r="Q31" s="27"/>
      <c r="R31" s="27"/>
      <c r="S31" s="28" t="s">
        <v>251</v>
      </c>
      <c r="T31" s="8" t="s">
        <v>252</v>
      </c>
      <c r="U31" s="29" t="e">
        <v>#N/A</v>
      </c>
      <c r="V31" s="21" t="s">
        <v>113</v>
      </c>
    </row>
    <row r="32">
      <c r="A32" s="30">
        <v>7.29000006877E12</v>
      </c>
      <c r="B32" s="20" t="s">
        <v>253</v>
      </c>
      <c r="C32" s="21">
        <v>0.128</v>
      </c>
      <c r="D32" s="21">
        <v>0.23</v>
      </c>
      <c r="E32" s="21">
        <v>0.056</v>
      </c>
      <c r="F32" s="22">
        <v>5.0</v>
      </c>
      <c r="G32" s="23"/>
      <c r="H32" s="24" t="s">
        <v>245</v>
      </c>
      <c r="I32" s="21" t="s">
        <v>246</v>
      </c>
      <c r="J32" s="24"/>
      <c r="K32" s="24" t="s">
        <v>254</v>
      </c>
      <c r="L32" s="20" t="s">
        <v>255</v>
      </c>
      <c r="M32" s="25" t="s">
        <v>256</v>
      </c>
      <c r="N32" s="26" t="s">
        <v>37</v>
      </c>
      <c r="O32" s="24" t="s">
        <v>109</v>
      </c>
      <c r="P32" s="24" t="s">
        <v>250</v>
      </c>
      <c r="Q32" s="27"/>
      <c r="R32" s="27"/>
      <c r="S32" s="28" t="s">
        <v>257</v>
      </c>
      <c r="T32" s="8" t="s">
        <v>258</v>
      </c>
      <c r="U32" s="29" t="e">
        <v>#N/A</v>
      </c>
      <c r="V32" s="21" t="s">
        <v>113</v>
      </c>
    </row>
    <row r="33">
      <c r="A33" s="30">
        <v>7.290111565656E12</v>
      </c>
      <c r="B33" s="20" t="s">
        <v>259</v>
      </c>
      <c r="C33" s="21">
        <v>0.128</v>
      </c>
      <c r="D33" s="21">
        <v>0.23</v>
      </c>
      <c r="E33" s="21">
        <v>0.056</v>
      </c>
      <c r="F33" s="22">
        <v>5.0</v>
      </c>
      <c r="G33" s="23"/>
      <c r="H33" s="24" t="s">
        <v>245</v>
      </c>
      <c r="I33" s="21" t="s">
        <v>246</v>
      </c>
      <c r="J33" s="24"/>
      <c r="K33" s="24" t="s">
        <v>260</v>
      </c>
      <c r="L33" s="20" t="s">
        <v>261</v>
      </c>
      <c r="M33" s="25" t="s">
        <v>262</v>
      </c>
      <c r="N33" s="26" t="s">
        <v>28</v>
      </c>
      <c r="O33" s="24" t="s">
        <v>109</v>
      </c>
      <c r="P33" s="24" t="s">
        <v>250</v>
      </c>
      <c r="Q33" s="27"/>
      <c r="R33" s="27"/>
      <c r="S33" s="28" t="s">
        <v>263</v>
      </c>
      <c r="T33" s="8" t="s">
        <v>262</v>
      </c>
      <c r="U33" s="29" t="s">
        <v>246</v>
      </c>
      <c r="V33" s="21" t="s">
        <v>113</v>
      </c>
    </row>
    <row r="34">
      <c r="A34" s="30">
        <v>7.290112966582E12</v>
      </c>
      <c r="B34" s="20" t="s">
        <v>264</v>
      </c>
      <c r="C34" s="21">
        <v>0.14</v>
      </c>
      <c r="D34" s="21">
        <v>0.175</v>
      </c>
      <c r="E34" s="21">
        <v>0.036</v>
      </c>
      <c r="F34" s="22">
        <v>8.0</v>
      </c>
      <c r="G34" s="23"/>
      <c r="H34" s="24" t="s">
        <v>245</v>
      </c>
      <c r="I34" s="21" t="s">
        <v>246</v>
      </c>
      <c r="J34" s="24"/>
      <c r="K34" s="24" t="s">
        <v>265</v>
      </c>
      <c r="L34" s="20" t="s">
        <v>266</v>
      </c>
      <c r="M34" s="25" t="s">
        <v>267</v>
      </c>
      <c r="N34" s="26" t="s">
        <v>28</v>
      </c>
      <c r="O34" s="24" t="s">
        <v>109</v>
      </c>
      <c r="P34" s="24" t="s">
        <v>250</v>
      </c>
      <c r="Q34" s="27"/>
      <c r="R34" s="27"/>
      <c r="S34" s="28" t="s">
        <v>268</v>
      </c>
      <c r="T34" s="8" t="s">
        <v>267</v>
      </c>
      <c r="U34" s="29" t="s">
        <v>246</v>
      </c>
      <c r="V34" s="21" t="s">
        <v>113</v>
      </c>
    </row>
    <row r="35">
      <c r="A35" s="30">
        <v>7.290104508943E12</v>
      </c>
      <c r="B35" s="20" t="s">
        <v>269</v>
      </c>
      <c r="C35" s="21">
        <v>0.19</v>
      </c>
      <c r="D35" s="21">
        <v>0.25</v>
      </c>
      <c r="E35" s="21">
        <v>0.07</v>
      </c>
      <c r="F35" s="22">
        <v>4.0</v>
      </c>
      <c r="G35" s="23"/>
      <c r="H35" s="24" t="s">
        <v>245</v>
      </c>
      <c r="I35" s="21" t="s">
        <v>246</v>
      </c>
      <c r="J35" s="24"/>
      <c r="K35" s="24" t="s">
        <v>270</v>
      </c>
      <c r="L35" s="20" t="s">
        <v>271</v>
      </c>
      <c r="M35" s="25" t="s">
        <v>272</v>
      </c>
      <c r="N35" s="26" t="s">
        <v>28</v>
      </c>
      <c r="O35" s="24" t="s">
        <v>109</v>
      </c>
      <c r="P35" s="24" t="s">
        <v>250</v>
      </c>
      <c r="Q35" s="27"/>
      <c r="R35" s="27"/>
      <c r="S35" s="31" t="s">
        <v>273</v>
      </c>
      <c r="T35" s="33" t="s">
        <v>272</v>
      </c>
      <c r="U35" s="29" t="s">
        <v>246</v>
      </c>
      <c r="V35" s="21" t="s">
        <v>113</v>
      </c>
    </row>
    <row r="36">
      <c r="A36" s="30">
        <v>7.290006855039E12</v>
      </c>
      <c r="B36" s="20" t="s">
        <v>274</v>
      </c>
      <c r="C36" s="21">
        <v>0.125</v>
      </c>
      <c r="D36" s="21">
        <v>0.03</v>
      </c>
      <c r="E36" s="21">
        <v>0.01</v>
      </c>
      <c r="F36" s="22">
        <v>30.0</v>
      </c>
      <c r="G36" s="23"/>
      <c r="H36" s="24" t="s">
        <v>275</v>
      </c>
      <c r="I36" s="21" t="s">
        <v>276</v>
      </c>
      <c r="J36" s="24"/>
      <c r="K36" s="24" t="s">
        <v>277</v>
      </c>
      <c r="L36" s="20" t="s">
        <v>278</v>
      </c>
      <c r="M36" s="25" t="s">
        <v>279</v>
      </c>
      <c r="N36" s="26" t="s">
        <v>37</v>
      </c>
      <c r="O36" s="24" t="s">
        <v>280</v>
      </c>
      <c r="P36" s="24" t="s">
        <v>281</v>
      </c>
      <c r="Q36" s="27"/>
      <c r="R36" s="27"/>
      <c r="S36" s="28" t="s">
        <v>282</v>
      </c>
      <c r="T36" s="8" t="s">
        <v>283</v>
      </c>
      <c r="U36" s="29" t="e">
        <v>#N/A</v>
      </c>
      <c r="V36" s="21" t="s">
        <v>284</v>
      </c>
    </row>
    <row r="37">
      <c r="A37" s="30">
        <v>7.290006855015E12</v>
      </c>
      <c r="B37" s="20" t="s">
        <v>285</v>
      </c>
      <c r="C37" s="21">
        <v>0.125</v>
      </c>
      <c r="D37" s="21">
        <v>0.03</v>
      </c>
      <c r="E37" s="21">
        <v>0.01</v>
      </c>
      <c r="F37" s="22">
        <v>30.0</v>
      </c>
      <c r="G37" s="23"/>
      <c r="H37" s="24" t="s">
        <v>275</v>
      </c>
      <c r="I37" s="21" t="s">
        <v>276</v>
      </c>
      <c r="J37" s="24"/>
      <c r="K37" s="24" t="s">
        <v>286</v>
      </c>
      <c r="L37" s="20" t="s">
        <v>287</v>
      </c>
      <c r="M37" s="25" t="s">
        <v>288</v>
      </c>
      <c r="N37" s="26" t="s">
        <v>37</v>
      </c>
      <c r="O37" s="24" t="s">
        <v>280</v>
      </c>
      <c r="P37" s="24" t="s">
        <v>281</v>
      </c>
      <c r="Q37" s="27"/>
      <c r="R37" s="27"/>
      <c r="S37" s="28" t="s">
        <v>289</v>
      </c>
      <c r="T37" s="8" t="s">
        <v>290</v>
      </c>
      <c r="U37" s="29" t="e">
        <v>#N/A</v>
      </c>
      <c r="V37" s="21" t="s">
        <v>284</v>
      </c>
    </row>
    <row r="38">
      <c r="A38" s="30">
        <v>7.290006855046E12</v>
      </c>
      <c r="B38" s="20" t="s">
        <v>291</v>
      </c>
      <c r="C38" s="21">
        <v>0.125</v>
      </c>
      <c r="D38" s="21">
        <v>0.03</v>
      </c>
      <c r="E38" s="21">
        <v>0.01</v>
      </c>
      <c r="F38" s="22">
        <v>30.0</v>
      </c>
      <c r="G38" s="23"/>
      <c r="H38" s="24" t="s">
        <v>275</v>
      </c>
      <c r="I38" s="21" t="s">
        <v>276</v>
      </c>
      <c r="J38" s="24"/>
      <c r="K38" s="24" t="s">
        <v>292</v>
      </c>
      <c r="L38" s="20" t="s">
        <v>293</v>
      </c>
      <c r="M38" s="25" t="s">
        <v>294</v>
      </c>
      <c r="N38" s="26" t="s">
        <v>37</v>
      </c>
      <c r="O38" s="24" t="s">
        <v>280</v>
      </c>
      <c r="P38" s="24" t="s">
        <v>281</v>
      </c>
      <c r="Q38" s="27"/>
      <c r="R38" s="27"/>
      <c r="S38" s="28" t="s">
        <v>295</v>
      </c>
      <c r="T38" s="8" t="s">
        <v>296</v>
      </c>
      <c r="U38" s="29" t="e">
        <v>#N/A</v>
      </c>
      <c r="V38" s="21" t="s">
        <v>284</v>
      </c>
    </row>
    <row r="39">
      <c r="A39" s="30">
        <v>7.290006855008E12</v>
      </c>
      <c r="B39" s="20" t="s">
        <v>297</v>
      </c>
      <c r="C39" s="21">
        <v>0.125</v>
      </c>
      <c r="D39" s="21">
        <v>0.03</v>
      </c>
      <c r="E39" s="21">
        <v>0.01</v>
      </c>
      <c r="F39" s="22">
        <v>30.0</v>
      </c>
      <c r="G39" s="23"/>
      <c r="H39" s="24" t="s">
        <v>275</v>
      </c>
      <c r="I39" s="21" t="s">
        <v>276</v>
      </c>
      <c r="J39" s="24"/>
      <c r="K39" s="24" t="s">
        <v>298</v>
      </c>
      <c r="L39" s="20" t="s">
        <v>299</v>
      </c>
      <c r="M39" s="25" t="s">
        <v>300</v>
      </c>
      <c r="N39" s="26" t="s">
        <v>37</v>
      </c>
      <c r="O39" s="24" t="s">
        <v>280</v>
      </c>
      <c r="P39" s="24" t="s">
        <v>281</v>
      </c>
      <c r="Q39" s="27"/>
      <c r="R39" s="27"/>
      <c r="S39" s="28" t="s">
        <v>301</v>
      </c>
      <c r="T39" s="8" t="s">
        <v>302</v>
      </c>
      <c r="U39" s="29" t="e">
        <v>#N/A</v>
      </c>
      <c r="V39" s="21" t="s">
        <v>284</v>
      </c>
    </row>
    <row r="40">
      <c r="A40" s="30">
        <v>7.290102035007E12</v>
      </c>
      <c r="B40" s="20" t="s">
        <v>303</v>
      </c>
      <c r="C40" s="21">
        <v>0.046</v>
      </c>
      <c r="D40" s="21">
        <v>0.076</v>
      </c>
      <c r="E40" s="21">
        <v>0.02</v>
      </c>
      <c r="F40" s="22">
        <v>15.0</v>
      </c>
      <c r="G40" s="23"/>
      <c r="H40" s="24" t="s">
        <v>304</v>
      </c>
      <c r="I40" s="21" t="s">
        <v>305</v>
      </c>
      <c r="J40" s="24"/>
      <c r="K40" s="24" t="s">
        <v>306</v>
      </c>
      <c r="L40" s="20" t="s">
        <v>307</v>
      </c>
      <c r="M40" s="25" t="s">
        <v>308</v>
      </c>
      <c r="N40" s="26" t="s">
        <v>28</v>
      </c>
      <c r="O40" s="24" t="s">
        <v>309</v>
      </c>
      <c r="P40" s="24" t="s">
        <v>310</v>
      </c>
      <c r="Q40" s="27"/>
      <c r="R40" s="27"/>
      <c r="S40" s="28" t="s">
        <v>311</v>
      </c>
      <c r="T40" s="8" t="s">
        <v>312</v>
      </c>
      <c r="U40" s="29" t="s">
        <v>313</v>
      </c>
      <c r="V40" s="24" t="str">
        <f>VLOOKUP(A40,'tagging table'!A:G,7,0)</f>
        <v>Cashiers</v>
      </c>
    </row>
    <row r="41">
      <c r="A41" s="30">
        <v>6.02652258244E11</v>
      </c>
      <c r="B41" s="20" t="s">
        <v>314</v>
      </c>
      <c r="C41" s="21">
        <v>0.162</v>
      </c>
      <c r="D41" s="21">
        <v>0.05</v>
      </c>
      <c r="E41" s="21">
        <v>0.02</v>
      </c>
      <c r="F41" s="22">
        <v>15.0</v>
      </c>
      <c r="G41" s="23"/>
      <c r="H41" s="24" t="s">
        <v>315</v>
      </c>
      <c r="I41" s="21" t="s">
        <v>316</v>
      </c>
      <c r="J41" s="24"/>
      <c r="K41" s="24" t="s">
        <v>317</v>
      </c>
      <c r="L41" s="20" t="s">
        <v>318</v>
      </c>
      <c r="M41" s="25" t="s">
        <v>319</v>
      </c>
      <c r="N41" s="26" t="s">
        <v>28</v>
      </c>
      <c r="O41" s="24" t="s">
        <v>320</v>
      </c>
      <c r="P41" s="24" t="s">
        <v>321</v>
      </c>
      <c r="Q41" s="27"/>
      <c r="R41" s="27"/>
      <c r="S41" s="28" t="s">
        <v>322</v>
      </c>
      <c r="T41" s="8" t="s">
        <v>323</v>
      </c>
      <c r="U41" s="29" t="s">
        <v>316</v>
      </c>
      <c r="V41" s="24" t="str">
        <f>VLOOKUP(A41,'tagging table'!A:G,7,0)</f>
        <v>Cashiers</v>
      </c>
    </row>
    <row r="42">
      <c r="A42" s="30">
        <v>5.00015952832E12</v>
      </c>
      <c r="B42" s="20" t="s">
        <v>314</v>
      </c>
      <c r="C42" s="21">
        <v>0.162</v>
      </c>
      <c r="D42" s="21">
        <v>0.05</v>
      </c>
      <c r="E42" s="21">
        <v>0.02</v>
      </c>
      <c r="F42" s="22">
        <v>15.0</v>
      </c>
      <c r="G42" s="23"/>
      <c r="H42" s="24" t="s">
        <v>315</v>
      </c>
      <c r="I42" s="21" t="s">
        <v>316</v>
      </c>
      <c r="J42" s="24"/>
      <c r="K42" s="24" t="s">
        <v>317</v>
      </c>
      <c r="L42" s="20" t="s">
        <v>318</v>
      </c>
      <c r="M42" s="25" t="s">
        <v>324</v>
      </c>
      <c r="N42" s="26" t="s">
        <v>28</v>
      </c>
      <c r="O42" s="24" t="s">
        <v>320</v>
      </c>
      <c r="P42" s="24" t="s">
        <v>321</v>
      </c>
      <c r="Q42" s="27"/>
      <c r="R42" s="27"/>
      <c r="S42" s="28" t="s">
        <v>325</v>
      </c>
      <c r="T42" s="8" t="s">
        <v>326</v>
      </c>
      <c r="U42" s="29" t="s">
        <v>327</v>
      </c>
      <c r="V42" s="24" t="str">
        <f>VLOOKUP(A42,'tagging table'!A:G,7,0)</f>
        <v>Cashiers</v>
      </c>
    </row>
    <row r="43">
      <c r="A43" s="30">
        <v>6.02652257834E11</v>
      </c>
      <c r="B43" s="20" t="s">
        <v>328</v>
      </c>
      <c r="C43" s="21">
        <v>0.162</v>
      </c>
      <c r="D43" s="21">
        <v>0.05</v>
      </c>
      <c r="E43" s="21">
        <v>0.02</v>
      </c>
      <c r="F43" s="22">
        <v>15.0</v>
      </c>
      <c r="G43" s="23"/>
      <c r="H43" s="24" t="s">
        <v>315</v>
      </c>
      <c r="I43" s="21" t="s">
        <v>316</v>
      </c>
      <c r="J43" s="24"/>
      <c r="K43" s="24" t="s">
        <v>329</v>
      </c>
      <c r="L43" s="20" t="s">
        <v>330</v>
      </c>
      <c r="M43" s="25" t="s">
        <v>331</v>
      </c>
      <c r="N43" s="26" t="s">
        <v>28</v>
      </c>
      <c r="O43" s="24" t="s">
        <v>320</v>
      </c>
      <c r="P43" s="24" t="s">
        <v>321</v>
      </c>
      <c r="Q43" s="27"/>
      <c r="R43" s="27"/>
      <c r="S43" s="28" t="s">
        <v>332</v>
      </c>
      <c r="T43" s="8" t="s">
        <v>333</v>
      </c>
      <c r="U43" s="29" t="s">
        <v>327</v>
      </c>
      <c r="V43" s="24" t="str">
        <f>VLOOKUP(A43,'tagging table'!A:G,7,0)</f>
        <v>Cashiers</v>
      </c>
    </row>
    <row r="44">
      <c r="A44" s="30">
        <v>7.290112358752E12</v>
      </c>
      <c r="B44" s="20" t="s">
        <v>334</v>
      </c>
      <c r="C44" s="21">
        <v>0.05</v>
      </c>
      <c r="D44" s="21">
        <v>0.135</v>
      </c>
      <c r="E44" s="21">
        <v>0.05</v>
      </c>
      <c r="F44" s="22">
        <v>6.0</v>
      </c>
      <c r="G44" s="23"/>
      <c r="H44" s="24" t="s">
        <v>335</v>
      </c>
      <c r="I44" s="21" t="s">
        <v>336</v>
      </c>
      <c r="J44" s="24"/>
      <c r="K44" s="24" t="s">
        <v>337</v>
      </c>
      <c r="L44" s="20" t="s">
        <v>338</v>
      </c>
      <c r="M44" s="25" t="s">
        <v>339</v>
      </c>
      <c r="N44" s="26" t="s">
        <v>37</v>
      </c>
      <c r="O44" s="24" t="s">
        <v>340</v>
      </c>
      <c r="P44" s="24" t="s">
        <v>341</v>
      </c>
      <c r="Q44" s="27"/>
      <c r="R44" s="27"/>
      <c r="S44" s="31" t="s">
        <v>342</v>
      </c>
      <c r="T44" s="8" t="s">
        <v>343</v>
      </c>
      <c r="U44" s="29" t="e">
        <v>#N/A</v>
      </c>
      <c r="V44" s="21" t="s">
        <v>55</v>
      </c>
    </row>
    <row r="45">
      <c r="A45" s="30">
        <v>7.290112347718E12</v>
      </c>
      <c r="B45" s="20" t="s">
        <v>344</v>
      </c>
      <c r="C45" s="21">
        <v>0.05</v>
      </c>
      <c r="D45" s="21">
        <v>0.135</v>
      </c>
      <c r="E45" s="21">
        <v>0.05</v>
      </c>
      <c r="F45" s="22">
        <v>6.0</v>
      </c>
      <c r="G45" s="23"/>
      <c r="H45" s="24" t="s">
        <v>335</v>
      </c>
      <c r="I45" s="21" t="s">
        <v>345</v>
      </c>
      <c r="J45" s="24"/>
      <c r="K45" s="24" t="s">
        <v>346</v>
      </c>
      <c r="L45" s="20" t="s">
        <v>347</v>
      </c>
      <c r="M45" s="25" t="s">
        <v>348</v>
      </c>
      <c r="N45" s="26" t="s">
        <v>37</v>
      </c>
      <c r="O45" s="24" t="s">
        <v>340</v>
      </c>
      <c r="P45" s="24" t="s">
        <v>341</v>
      </c>
      <c r="Q45" s="27"/>
      <c r="R45" s="27"/>
      <c r="S45" s="31" t="s">
        <v>349</v>
      </c>
      <c r="T45" s="33" t="s">
        <v>350</v>
      </c>
      <c r="U45" s="29" t="e">
        <v>#N/A</v>
      </c>
      <c r="V45" s="21" t="s">
        <v>55</v>
      </c>
    </row>
    <row r="46">
      <c r="A46" s="30">
        <v>7.290112347725E12</v>
      </c>
      <c r="B46" s="20" t="s">
        <v>351</v>
      </c>
      <c r="C46" s="21">
        <v>0.05</v>
      </c>
      <c r="D46" s="21">
        <v>0.135</v>
      </c>
      <c r="E46" s="21">
        <v>0.05</v>
      </c>
      <c r="F46" s="22">
        <v>6.0</v>
      </c>
      <c r="G46" s="23"/>
      <c r="H46" s="24" t="s">
        <v>335</v>
      </c>
      <c r="I46" s="21" t="s">
        <v>352</v>
      </c>
      <c r="J46" s="24"/>
      <c r="K46" s="24" t="s">
        <v>353</v>
      </c>
      <c r="L46" s="20" t="s">
        <v>354</v>
      </c>
      <c r="M46" s="25" t="s">
        <v>355</v>
      </c>
      <c r="N46" s="26" t="s">
        <v>37</v>
      </c>
      <c r="O46" s="24" t="s">
        <v>340</v>
      </c>
      <c r="P46" s="24" t="s">
        <v>341</v>
      </c>
      <c r="Q46" s="27"/>
      <c r="R46" s="27"/>
      <c r="S46" s="28" t="s">
        <v>356</v>
      </c>
      <c r="T46" s="33" t="s">
        <v>357</v>
      </c>
      <c r="U46" s="29" t="e">
        <v>#N/A</v>
      </c>
      <c r="V46" s="21" t="s">
        <v>55</v>
      </c>
    </row>
    <row r="47">
      <c r="A47" s="30">
        <v>4.2061939E7</v>
      </c>
      <c r="B47" s="20" t="s">
        <v>358</v>
      </c>
      <c r="C47" s="21">
        <v>0.06</v>
      </c>
      <c r="D47" s="21">
        <v>0.22</v>
      </c>
      <c r="E47" s="21">
        <v>0.06</v>
      </c>
      <c r="F47" s="22">
        <v>5.0</v>
      </c>
      <c r="G47" s="23"/>
      <c r="H47" s="24" t="s">
        <v>359</v>
      </c>
      <c r="I47" s="21" t="s">
        <v>360</v>
      </c>
      <c r="J47" s="20" t="s">
        <v>361</v>
      </c>
      <c r="K47" s="24" t="s">
        <v>362</v>
      </c>
      <c r="L47" s="20" t="s">
        <v>363</v>
      </c>
      <c r="M47" s="25" t="s">
        <v>364</v>
      </c>
      <c r="N47" s="26" t="s">
        <v>28</v>
      </c>
      <c r="O47" s="24" t="s">
        <v>365</v>
      </c>
      <c r="P47" s="24" t="s">
        <v>366</v>
      </c>
      <c r="Q47" s="27"/>
      <c r="R47" s="27"/>
      <c r="S47" s="28" t="s">
        <v>367</v>
      </c>
      <c r="T47" s="8" t="s">
        <v>368</v>
      </c>
      <c r="U47" s="29" t="s">
        <v>360</v>
      </c>
      <c r="V47" s="24" t="str">
        <f>VLOOKUP(A47,'tagging table'!A:G,7,0)</f>
        <v>Drinks</v>
      </c>
    </row>
    <row r="48">
      <c r="A48" s="30">
        <v>7.290111564956E12</v>
      </c>
      <c r="B48" s="20" t="s">
        <v>369</v>
      </c>
      <c r="C48" s="21">
        <v>0.19</v>
      </c>
      <c r="D48" s="21">
        <v>0.25</v>
      </c>
      <c r="E48" s="21">
        <v>0.07</v>
      </c>
      <c r="F48" s="22">
        <v>4.0</v>
      </c>
      <c r="G48" s="23"/>
      <c r="H48" s="24" t="s">
        <v>370</v>
      </c>
      <c r="I48" s="21" t="s">
        <v>371</v>
      </c>
      <c r="J48" s="24"/>
      <c r="K48" s="24" t="s">
        <v>372</v>
      </c>
      <c r="L48" s="20" t="s">
        <v>373</v>
      </c>
      <c r="M48" s="25" t="s">
        <v>374</v>
      </c>
      <c r="N48" s="26" t="s">
        <v>28</v>
      </c>
      <c r="O48" s="24" t="s">
        <v>109</v>
      </c>
      <c r="P48" s="24" t="s">
        <v>250</v>
      </c>
      <c r="Q48" s="27"/>
      <c r="R48" s="27"/>
      <c r="S48" s="28" t="s">
        <v>375</v>
      </c>
      <c r="T48" s="8" t="s">
        <v>374</v>
      </c>
      <c r="U48" s="29" t="s">
        <v>371</v>
      </c>
      <c r="V48" s="21" t="s">
        <v>113</v>
      </c>
    </row>
    <row r="49">
      <c r="A49" s="30">
        <v>7.290000066219E12</v>
      </c>
      <c r="B49" s="20" t="s">
        <v>376</v>
      </c>
      <c r="C49" s="21">
        <v>0.14</v>
      </c>
      <c r="D49" s="21">
        <v>0.26</v>
      </c>
      <c r="E49" s="21">
        <v>0.08</v>
      </c>
      <c r="F49" s="22">
        <v>4.0</v>
      </c>
      <c r="G49" s="23"/>
      <c r="H49" s="24" t="s">
        <v>370</v>
      </c>
      <c r="I49" s="21" t="s">
        <v>371</v>
      </c>
      <c r="J49" s="24"/>
      <c r="K49" s="24" t="s">
        <v>377</v>
      </c>
      <c r="L49" s="20" t="s">
        <v>378</v>
      </c>
      <c r="M49" s="25" t="s">
        <v>379</v>
      </c>
      <c r="N49" s="26" t="s">
        <v>37</v>
      </c>
      <c r="O49" s="24" t="s">
        <v>109</v>
      </c>
      <c r="P49" s="24" t="s">
        <v>380</v>
      </c>
      <c r="Q49" s="27"/>
      <c r="R49" s="27"/>
      <c r="S49" s="28" t="s">
        <v>381</v>
      </c>
      <c r="T49" s="8" t="s">
        <v>382</v>
      </c>
      <c r="U49" s="29" t="e">
        <v>#N/A</v>
      </c>
      <c r="V49" s="21" t="s">
        <v>113</v>
      </c>
    </row>
    <row r="50">
      <c r="A50" s="30">
        <v>7.290000066165E12</v>
      </c>
      <c r="B50" s="20" t="s">
        <v>383</v>
      </c>
      <c r="C50" s="21">
        <v>0.102</v>
      </c>
      <c r="D50" s="21">
        <v>0.175</v>
      </c>
      <c r="E50" s="21">
        <v>0.03</v>
      </c>
      <c r="F50" s="22">
        <v>10.0</v>
      </c>
      <c r="G50" s="23"/>
      <c r="H50" s="24" t="s">
        <v>370</v>
      </c>
      <c r="I50" s="21" t="s">
        <v>371</v>
      </c>
      <c r="J50" s="24"/>
      <c r="K50" s="24" t="s">
        <v>384</v>
      </c>
      <c r="L50" s="20" t="s">
        <v>385</v>
      </c>
      <c r="M50" s="25" t="s">
        <v>386</v>
      </c>
      <c r="N50" s="26" t="s">
        <v>37</v>
      </c>
      <c r="O50" s="24" t="s">
        <v>109</v>
      </c>
      <c r="P50" s="24" t="s">
        <v>380</v>
      </c>
      <c r="Q50" s="27"/>
      <c r="R50" s="27"/>
      <c r="S50" s="28" t="s">
        <v>387</v>
      </c>
      <c r="T50" s="37" t="s">
        <v>388</v>
      </c>
      <c r="U50" s="29" t="e">
        <v>#N/A</v>
      </c>
      <c r="V50" s="21" t="s">
        <v>113</v>
      </c>
    </row>
    <row r="51">
      <c r="A51" s="30">
        <v>7.290000066189E12</v>
      </c>
      <c r="B51" s="20" t="s">
        <v>389</v>
      </c>
      <c r="C51" s="21">
        <v>0.14</v>
      </c>
      <c r="D51" s="21">
        <v>0.26</v>
      </c>
      <c r="E51" s="21">
        <v>0.02</v>
      </c>
      <c r="F51" s="22">
        <v>15.0</v>
      </c>
      <c r="G51" s="23"/>
      <c r="H51" s="24" t="s">
        <v>370</v>
      </c>
      <c r="I51" s="21" t="s">
        <v>371</v>
      </c>
      <c r="J51" s="24"/>
      <c r="K51" s="24" t="s">
        <v>390</v>
      </c>
      <c r="L51" s="20" t="s">
        <v>391</v>
      </c>
      <c r="M51" s="25" t="s">
        <v>392</v>
      </c>
      <c r="N51" s="26" t="s">
        <v>37</v>
      </c>
      <c r="O51" s="24" t="s">
        <v>109</v>
      </c>
      <c r="P51" s="24" t="s">
        <v>380</v>
      </c>
      <c r="Q51" s="27"/>
      <c r="R51" s="27"/>
      <c r="S51" s="28" t="s">
        <v>393</v>
      </c>
      <c r="T51" s="8" t="s">
        <v>394</v>
      </c>
      <c r="U51" s="29" t="e">
        <v>#N/A</v>
      </c>
      <c r="V51" s="21" t="s">
        <v>113</v>
      </c>
    </row>
    <row r="52">
      <c r="A52" s="30">
        <v>7.290000066134E12</v>
      </c>
      <c r="B52" s="20" t="s">
        <v>395</v>
      </c>
      <c r="C52" s="21">
        <v>0.102</v>
      </c>
      <c r="D52" s="21">
        <v>0.175</v>
      </c>
      <c r="E52" s="21">
        <v>0.03</v>
      </c>
      <c r="F52" s="22">
        <v>10.0</v>
      </c>
      <c r="G52" s="23"/>
      <c r="H52" s="24" t="s">
        <v>370</v>
      </c>
      <c r="I52" s="21" t="s">
        <v>371</v>
      </c>
      <c r="J52" s="24"/>
      <c r="K52" s="24" t="s">
        <v>396</v>
      </c>
      <c r="L52" s="20" t="s">
        <v>397</v>
      </c>
      <c r="M52" s="25" t="s">
        <v>398</v>
      </c>
      <c r="N52" s="26" t="s">
        <v>37</v>
      </c>
      <c r="O52" s="24" t="s">
        <v>109</v>
      </c>
      <c r="P52" s="24" t="s">
        <v>380</v>
      </c>
      <c r="Q52" s="27"/>
      <c r="R52" s="27"/>
      <c r="S52" s="31" t="s">
        <v>399</v>
      </c>
      <c r="T52" s="8" t="s">
        <v>400</v>
      </c>
      <c r="U52" s="29" t="e">
        <v>#N/A</v>
      </c>
      <c r="V52" s="21" t="s">
        <v>113</v>
      </c>
    </row>
    <row r="53">
      <c r="A53" s="30">
        <v>7.290000066196E12</v>
      </c>
      <c r="B53" s="20" t="s">
        <v>401</v>
      </c>
      <c r="C53" s="21">
        <v>0.14</v>
      </c>
      <c r="D53" s="21">
        <v>0.26</v>
      </c>
      <c r="E53" s="21">
        <v>0.07</v>
      </c>
      <c r="F53" s="22">
        <v>4.0</v>
      </c>
      <c r="G53" s="23"/>
      <c r="H53" s="24" t="s">
        <v>370</v>
      </c>
      <c r="I53" s="21" t="s">
        <v>371</v>
      </c>
      <c r="J53" s="24"/>
      <c r="K53" s="24" t="s">
        <v>402</v>
      </c>
      <c r="L53" s="20" t="s">
        <v>403</v>
      </c>
      <c r="M53" s="25" t="s">
        <v>404</v>
      </c>
      <c r="N53" s="26" t="s">
        <v>37</v>
      </c>
      <c r="O53" s="24" t="s">
        <v>109</v>
      </c>
      <c r="P53" s="24" t="s">
        <v>380</v>
      </c>
      <c r="Q53" s="27"/>
      <c r="R53" s="27"/>
      <c r="S53" s="28" t="s">
        <v>405</v>
      </c>
      <c r="T53" s="33" t="s">
        <v>406</v>
      </c>
      <c r="U53" s="29" t="e">
        <v>#N/A</v>
      </c>
      <c r="V53" s="21" t="s">
        <v>113</v>
      </c>
    </row>
    <row r="54">
      <c r="A54" s="30">
        <v>7.290000066141E12</v>
      </c>
      <c r="B54" s="20" t="s">
        <v>407</v>
      </c>
      <c r="C54" s="21">
        <v>0.102</v>
      </c>
      <c r="D54" s="21">
        <v>0.175</v>
      </c>
      <c r="E54" s="21">
        <v>0.03</v>
      </c>
      <c r="F54" s="22">
        <v>10.0</v>
      </c>
      <c r="G54" s="23"/>
      <c r="H54" s="24" t="s">
        <v>370</v>
      </c>
      <c r="I54" s="21" t="s">
        <v>371</v>
      </c>
      <c r="J54" s="24"/>
      <c r="K54" s="24" t="s">
        <v>408</v>
      </c>
      <c r="L54" s="20" t="s">
        <v>409</v>
      </c>
      <c r="M54" s="25" t="s">
        <v>410</v>
      </c>
      <c r="N54" s="26" t="s">
        <v>37</v>
      </c>
      <c r="O54" s="24" t="s">
        <v>109</v>
      </c>
      <c r="P54" s="24" t="s">
        <v>380</v>
      </c>
      <c r="Q54" s="27"/>
      <c r="R54" s="27"/>
      <c r="S54" s="28" t="s">
        <v>411</v>
      </c>
      <c r="T54" s="8" t="s">
        <v>412</v>
      </c>
      <c r="U54" s="29" t="e">
        <v>#N/A</v>
      </c>
      <c r="V54" s="21" t="s">
        <v>113</v>
      </c>
    </row>
    <row r="55">
      <c r="A55" s="30">
        <v>7.290000066202E12</v>
      </c>
      <c r="B55" s="20" t="s">
        <v>413</v>
      </c>
      <c r="C55" s="21">
        <v>0.14</v>
      </c>
      <c r="D55" s="21">
        <v>0.26</v>
      </c>
      <c r="E55" s="21">
        <v>0.08</v>
      </c>
      <c r="F55" s="22">
        <v>4.0</v>
      </c>
      <c r="G55" s="23"/>
      <c r="H55" s="24" t="s">
        <v>370</v>
      </c>
      <c r="I55" s="21" t="s">
        <v>371</v>
      </c>
      <c r="J55" s="24"/>
      <c r="K55" s="24" t="s">
        <v>414</v>
      </c>
      <c r="L55" s="20" t="s">
        <v>415</v>
      </c>
      <c r="M55" s="25" t="s">
        <v>416</v>
      </c>
      <c r="N55" s="26" t="s">
        <v>37</v>
      </c>
      <c r="O55" s="24" t="s">
        <v>109</v>
      </c>
      <c r="P55" s="24" t="s">
        <v>380</v>
      </c>
      <c r="Q55" s="27"/>
      <c r="R55" s="27"/>
      <c r="S55" s="28" t="s">
        <v>417</v>
      </c>
      <c r="T55" s="8" t="s">
        <v>418</v>
      </c>
      <c r="U55" s="29" t="e">
        <v>#N/A</v>
      </c>
      <c r="V55" s="21" t="s">
        <v>113</v>
      </c>
    </row>
    <row r="56">
      <c r="A56" s="30">
        <v>7.290000066158E12</v>
      </c>
      <c r="B56" s="20" t="s">
        <v>419</v>
      </c>
      <c r="C56" s="21">
        <v>0.102</v>
      </c>
      <c r="D56" s="21">
        <v>0.175</v>
      </c>
      <c r="E56" s="21">
        <v>0.03</v>
      </c>
      <c r="F56" s="22">
        <v>10.0</v>
      </c>
      <c r="G56" s="23"/>
      <c r="H56" s="24" t="s">
        <v>370</v>
      </c>
      <c r="I56" s="21" t="s">
        <v>371</v>
      </c>
      <c r="J56" s="24"/>
      <c r="K56" s="24" t="s">
        <v>420</v>
      </c>
      <c r="L56" s="20" t="s">
        <v>421</v>
      </c>
      <c r="M56" s="25" t="s">
        <v>422</v>
      </c>
      <c r="N56" s="26" t="s">
        <v>37</v>
      </c>
      <c r="O56" s="24" t="s">
        <v>109</v>
      </c>
      <c r="P56" s="24" t="s">
        <v>380</v>
      </c>
      <c r="Q56" s="27"/>
      <c r="R56" s="27"/>
      <c r="S56" s="28" t="s">
        <v>423</v>
      </c>
      <c r="T56" s="8" t="s">
        <v>424</v>
      </c>
      <c r="U56" s="29" t="e">
        <v>#N/A</v>
      </c>
      <c r="V56" s="21" t="s">
        <v>113</v>
      </c>
    </row>
    <row r="57">
      <c r="A57" s="30">
        <v>7.290111568206E12</v>
      </c>
      <c r="B57" s="20" t="s">
        <v>425</v>
      </c>
      <c r="C57" s="21">
        <v>0.128</v>
      </c>
      <c r="D57" s="21">
        <v>0.23</v>
      </c>
      <c r="E57" s="21">
        <v>0.056</v>
      </c>
      <c r="F57" s="22">
        <v>5.0</v>
      </c>
      <c r="G57" s="23"/>
      <c r="H57" s="24" t="s">
        <v>370</v>
      </c>
      <c r="I57" s="21" t="s">
        <v>371</v>
      </c>
      <c r="J57" s="24"/>
      <c r="K57" s="24" t="s">
        <v>426</v>
      </c>
      <c r="L57" s="20" t="s">
        <v>427</v>
      </c>
      <c r="M57" s="25" t="s">
        <v>428</v>
      </c>
      <c r="N57" s="26" t="s">
        <v>28</v>
      </c>
      <c r="O57" s="24" t="s">
        <v>109</v>
      </c>
      <c r="P57" s="24" t="s">
        <v>380</v>
      </c>
      <c r="Q57" s="27"/>
      <c r="R57" s="27"/>
      <c r="S57" s="28" t="s">
        <v>429</v>
      </c>
      <c r="T57" s="33" t="s">
        <v>428</v>
      </c>
      <c r="U57" s="29" t="s">
        <v>371</v>
      </c>
      <c r="V57" s="21" t="s">
        <v>113</v>
      </c>
    </row>
    <row r="58">
      <c r="A58" s="30">
        <v>7.290000066226E12</v>
      </c>
      <c r="B58" s="20" t="s">
        <v>430</v>
      </c>
      <c r="C58" s="21">
        <v>0.14</v>
      </c>
      <c r="D58" s="21">
        <v>0.26</v>
      </c>
      <c r="E58" s="21">
        <v>0.03</v>
      </c>
      <c r="F58" s="22">
        <v>10.0</v>
      </c>
      <c r="G58" s="23"/>
      <c r="H58" s="24" t="s">
        <v>370</v>
      </c>
      <c r="I58" s="21" t="s">
        <v>371</v>
      </c>
      <c r="J58" s="24"/>
      <c r="K58" s="24" t="s">
        <v>431</v>
      </c>
      <c r="L58" s="20" t="s">
        <v>432</v>
      </c>
      <c r="M58" s="25" t="s">
        <v>433</v>
      </c>
      <c r="N58" s="26" t="s">
        <v>37</v>
      </c>
      <c r="O58" s="24" t="s">
        <v>109</v>
      </c>
      <c r="P58" s="24" t="s">
        <v>380</v>
      </c>
      <c r="Q58" s="27"/>
      <c r="R58" s="27"/>
      <c r="S58" s="28" t="s">
        <v>434</v>
      </c>
      <c r="T58" s="33" t="s">
        <v>435</v>
      </c>
      <c r="U58" s="29" t="e">
        <v>#N/A</v>
      </c>
      <c r="V58" s="21" t="s">
        <v>113</v>
      </c>
    </row>
    <row r="59">
      <c r="A59" s="30">
        <v>7.290000066172E12</v>
      </c>
      <c r="B59" s="20" t="s">
        <v>436</v>
      </c>
      <c r="C59" s="21">
        <v>0.102</v>
      </c>
      <c r="D59" s="21">
        <v>0.175</v>
      </c>
      <c r="E59" s="21">
        <v>0.03</v>
      </c>
      <c r="F59" s="22">
        <v>10.0</v>
      </c>
      <c r="G59" s="23"/>
      <c r="H59" s="24" t="s">
        <v>370</v>
      </c>
      <c r="I59" s="21" t="s">
        <v>371</v>
      </c>
      <c r="J59" s="24"/>
      <c r="K59" s="24" t="s">
        <v>437</v>
      </c>
      <c r="L59" s="20" t="s">
        <v>438</v>
      </c>
      <c r="M59" s="25" t="s">
        <v>439</v>
      </c>
      <c r="N59" s="26" t="s">
        <v>37</v>
      </c>
      <c r="O59" s="24" t="s">
        <v>109</v>
      </c>
      <c r="P59" s="24" t="s">
        <v>380</v>
      </c>
      <c r="Q59" s="27"/>
      <c r="R59" s="27"/>
      <c r="S59" s="28" t="s">
        <v>440</v>
      </c>
      <c r="T59" s="33" t="s">
        <v>441</v>
      </c>
      <c r="U59" s="29" t="e">
        <v>#N/A</v>
      </c>
      <c r="V59" s="21" t="s">
        <v>113</v>
      </c>
    </row>
    <row r="60">
      <c r="A60" s="30">
        <v>5.90494175192E12</v>
      </c>
      <c r="B60" s="20" t="s">
        <v>442</v>
      </c>
      <c r="C60" s="21">
        <v>0.053</v>
      </c>
      <c r="D60" s="21">
        <v>0.134</v>
      </c>
      <c r="E60" s="21">
        <v>0.053</v>
      </c>
      <c r="F60" s="22">
        <v>6.0</v>
      </c>
      <c r="G60" s="23"/>
      <c r="H60" s="24" t="s">
        <v>443</v>
      </c>
      <c r="I60" s="21" t="s">
        <v>444</v>
      </c>
      <c r="J60" s="20" t="s">
        <v>445</v>
      </c>
      <c r="K60" s="24" t="s">
        <v>446</v>
      </c>
      <c r="L60" s="20" t="s">
        <v>447</v>
      </c>
      <c r="M60" s="25" t="s">
        <v>448</v>
      </c>
      <c r="N60" s="26" t="s">
        <v>28</v>
      </c>
      <c r="O60" s="24" t="s">
        <v>340</v>
      </c>
      <c r="P60" s="24" t="s">
        <v>449</v>
      </c>
      <c r="Q60" s="27"/>
      <c r="R60" s="27"/>
      <c r="S60" s="31" t="s">
        <v>450</v>
      </c>
      <c r="T60" s="33" t="s">
        <v>451</v>
      </c>
      <c r="U60" s="29" t="s">
        <v>444</v>
      </c>
      <c r="V60" s="24" t="str">
        <f>VLOOKUP(A60,'tagging table'!A:G,7,0)</f>
        <v>Drinks</v>
      </c>
    </row>
    <row r="61">
      <c r="A61" s="30">
        <v>5.904941751241E12</v>
      </c>
      <c r="B61" s="20" t="s">
        <v>452</v>
      </c>
      <c r="C61" s="21">
        <v>0.053</v>
      </c>
      <c r="D61" s="21">
        <v>0.134</v>
      </c>
      <c r="E61" s="21">
        <v>0.053</v>
      </c>
      <c r="F61" s="22">
        <v>6.0</v>
      </c>
      <c r="G61" s="23"/>
      <c r="H61" s="24" t="s">
        <v>443</v>
      </c>
      <c r="I61" s="21" t="s">
        <v>444</v>
      </c>
      <c r="J61" s="20" t="s">
        <v>445</v>
      </c>
      <c r="K61" s="24" t="s">
        <v>453</v>
      </c>
      <c r="L61" s="20" t="s">
        <v>454</v>
      </c>
      <c r="M61" s="25" t="s">
        <v>455</v>
      </c>
      <c r="N61" s="26" t="s">
        <v>28</v>
      </c>
      <c r="O61" s="24" t="s">
        <v>340</v>
      </c>
      <c r="P61" s="24" t="s">
        <v>449</v>
      </c>
      <c r="Q61" s="27"/>
      <c r="R61" s="27"/>
      <c r="S61" s="31" t="s">
        <v>456</v>
      </c>
      <c r="T61" s="33" t="s">
        <v>457</v>
      </c>
      <c r="U61" s="29" t="s">
        <v>444</v>
      </c>
      <c r="V61" s="24" t="str">
        <f>VLOOKUP(A61,'tagging table'!A:G,7,0)</f>
        <v>Drinks</v>
      </c>
    </row>
    <row r="62">
      <c r="A62" s="30">
        <v>5.904941751302E12</v>
      </c>
      <c r="B62" s="20" t="s">
        <v>458</v>
      </c>
      <c r="C62" s="21">
        <v>0.053</v>
      </c>
      <c r="D62" s="21">
        <v>0.134</v>
      </c>
      <c r="E62" s="21">
        <v>0.053</v>
      </c>
      <c r="F62" s="22">
        <v>6.0</v>
      </c>
      <c r="G62" s="23"/>
      <c r="H62" s="24" t="s">
        <v>443</v>
      </c>
      <c r="I62" s="21" t="s">
        <v>444</v>
      </c>
      <c r="J62" s="20" t="s">
        <v>445</v>
      </c>
      <c r="K62" s="24" t="s">
        <v>459</v>
      </c>
      <c r="L62" s="20" t="s">
        <v>460</v>
      </c>
      <c r="M62" s="25" t="s">
        <v>461</v>
      </c>
      <c r="N62" s="26" t="s">
        <v>28</v>
      </c>
      <c r="O62" s="24" t="s">
        <v>340</v>
      </c>
      <c r="P62" s="24" t="s">
        <v>449</v>
      </c>
      <c r="Q62" s="27"/>
      <c r="R62" s="27"/>
      <c r="S62" s="28" t="s">
        <v>462</v>
      </c>
      <c r="T62" s="8" t="s">
        <v>463</v>
      </c>
      <c r="U62" s="29" t="s">
        <v>444</v>
      </c>
      <c r="V62" s="24" t="str">
        <f>VLOOKUP(A62,'tagging table'!A:G,7,0)</f>
        <v>Drinks</v>
      </c>
    </row>
    <row r="63">
      <c r="A63" s="30">
        <v>5.904941752262E12</v>
      </c>
      <c r="B63" s="20" t="s">
        <v>464</v>
      </c>
      <c r="C63" s="21">
        <v>0.053</v>
      </c>
      <c r="D63" s="21">
        <v>0.134</v>
      </c>
      <c r="E63" s="21">
        <v>0.053</v>
      </c>
      <c r="F63" s="22">
        <v>6.0</v>
      </c>
      <c r="G63" s="23"/>
      <c r="H63" s="24" t="s">
        <v>443</v>
      </c>
      <c r="I63" s="21" t="s">
        <v>444</v>
      </c>
      <c r="J63" s="20" t="s">
        <v>445</v>
      </c>
      <c r="K63" s="24" t="s">
        <v>465</v>
      </c>
      <c r="L63" s="20" t="s">
        <v>466</v>
      </c>
      <c r="M63" s="25" t="s">
        <v>467</v>
      </c>
      <c r="N63" s="26" t="s">
        <v>28</v>
      </c>
      <c r="O63" s="24" t="s">
        <v>340</v>
      </c>
      <c r="P63" s="24" t="s">
        <v>449</v>
      </c>
      <c r="Q63" s="27"/>
      <c r="R63" s="27"/>
      <c r="S63" s="28" t="s">
        <v>468</v>
      </c>
      <c r="T63" s="8" t="s">
        <v>469</v>
      </c>
      <c r="U63" s="29" t="s">
        <v>444</v>
      </c>
      <c r="V63" s="24" t="str">
        <f>VLOOKUP(A63,'tagging table'!A:G,7,0)</f>
        <v>Drinks</v>
      </c>
    </row>
    <row r="64">
      <c r="A64" s="30">
        <v>5.904941750312E12</v>
      </c>
      <c r="B64" s="20" t="s">
        <v>470</v>
      </c>
      <c r="C64" s="21">
        <v>0.053</v>
      </c>
      <c r="D64" s="21">
        <v>0.134</v>
      </c>
      <c r="E64" s="21">
        <v>0.053</v>
      </c>
      <c r="F64" s="22">
        <v>6.0</v>
      </c>
      <c r="G64" s="23"/>
      <c r="H64" s="24" t="s">
        <v>443</v>
      </c>
      <c r="I64" s="21" t="s">
        <v>444</v>
      </c>
      <c r="J64" s="20" t="s">
        <v>445</v>
      </c>
      <c r="K64" s="24" t="s">
        <v>471</v>
      </c>
      <c r="L64" s="20" t="s">
        <v>472</v>
      </c>
      <c r="M64" s="25" t="s">
        <v>473</v>
      </c>
      <c r="N64" s="26" t="s">
        <v>28</v>
      </c>
      <c r="O64" s="24" t="s">
        <v>340</v>
      </c>
      <c r="P64" s="24" t="s">
        <v>449</v>
      </c>
      <c r="Q64" s="27"/>
      <c r="R64" s="27"/>
      <c r="S64" s="28" t="s">
        <v>474</v>
      </c>
      <c r="T64" s="33" t="s">
        <v>475</v>
      </c>
      <c r="U64" s="29" t="s">
        <v>444</v>
      </c>
      <c r="V64" s="24" t="str">
        <f>VLOOKUP(A64,'tagging table'!A:G,7,0)</f>
        <v>Drinks</v>
      </c>
    </row>
    <row r="65">
      <c r="A65" s="30">
        <v>5.904941751524E12</v>
      </c>
      <c r="B65" s="20" t="s">
        <v>476</v>
      </c>
      <c r="C65" s="21">
        <v>0.053</v>
      </c>
      <c r="D65" s="21">
        <v>0.134</v>
      </c>
      <c r="E65" s="21">
        <v>0.053</v>
      </c>
      <c r="F65" s="22">
        <v>6.0</v>
      </c>
      <c r="G65" s="23"/>
      <c r="H65" s="24" t="s">
        <v>443</v>
      </c>
      <c r="I65" s="21" t="s">
        <v>444</v>
      </c>
      <c r="J65" s="20" t="s">
        <v>445</v>
      </c>
      <c r="K65" s="24" t="s">
        <v>477</v>
      </c>
      <c r="L65" s="20" t="s">
        <v>478</v>
      </c>
      <c r="M65" s="25" t="s">
        <v>479</v>
      </c>
      <c r="N65" s="26" t="s">
        <v>28</v>
      </c>
      <c r="O65" s="24" t="s">
        <v>340</v>
      </c>
      <c r="P65" s="24" t="s">
        <v>449</v>
      </c>
      <c r="Q65" s="27"/>
      <c r="R65" s="27"/>
      <c r="S65" s="28" t="s">
        <v>480</v>
      </c>
      <c r="T65" s="8" t="s">
        <v>481</v>
      </c>
      <c r="U65" s="29" t="s">
        <v>444</v>
      </c>
      <c r="V65" s="24" t="str">
        <f>VLOOKUP(A65,'tagging table'!A:G,7,0)</f>
        <v>Drinks</v>
      </c>
    </row>
    <row r="66">
      <c r="A66" s="30">
        <v>5.060639128051E12</v>
      </c>
      <c r="B66" s="20" t="s">
        <v>482</v>
      </c>
      <c r="C66" s="21">
        <v>0.066</v>
      </c>
      <c r="D66" s="21">
        <v>0.168</v>
      </c>
      <c r="E66" s="21">
        <v>0.066</v>
      </c>
      <c r="F66" s="22">
        <v>5.0</v>
      </c>
      <c r="G66" s="23"/>
      <c r="H66" s="24" t="s">
        <v>443</v>
      </c>
      <c r="I66" s="21" t="s">
        <v>444</v>
      </c>
      <c r="J66" s="20" t="s">
        <v>445</v>
      </c>
      <c r="K66" s="24" t="s">
        <v>483</v>
      </c>
      <c r="L66" s="20" t="s">
        <v>484</v>
      </c>
      <c r="M66" s="25" t="s">
        <v>485</v>
      </c>
      <c r="N66" s="26" t="s">
        <v>28</v>
      </c>
      <c r="O66" s="24" t="s">
        <v>340</v>
      </c>
      <c r="P66" s="24" t="s">
        <v>449</v>
      </c>
      <c r="Q66" s="27"/>
      <c r="R66" s="27"/>
      <c r="S66" s="31" t="s">
        <v>486</v>
      </c>
      <c r="T66" s="33" t="s">
        <v>487</v>
      </c>
      <c r="U66" s="29" t="s">
        <v>488</v>
      </c>
      <c r="V66" s="24" t="str">
        <f>VLOOKUP(A66,'tagging table'!A:G,7,0)</f>
        <v>Drinks</v>
      </c>
    </row>
    <row r="67">
      <c r="A67" s="30">
        <v>7.53182231761E11</v>
      </c>
      <c r="B67" s="20" t="s">
        <v>489</v>
      </c>
      <c r="C67" s="21">
        <v>0.053</v>
      </c>
      <c r="D67" s="21">
        <v>0.134</v>
      </c>
      <c r="E67" s="21">
        <v>0.053</v>
      </c>
      <c r="F67" s="22">
        <v>6.0</v>
      </c>
      <c r="G67" s="23"/>
      <c r="H67" s="24" t="s">
        <v>443</v>
      </c>
      <c r="I67" s="21" t="s">
        <v>444</v>
      </c>
      <c r="J67" s="20" t="s">
        <v>445</v>
      </c>
      <c r="K67" s="24" t="s">
        <v>490</v>
      </c>
      <c r="L67" s="20" t="s">
        <v>491</v>
      </c>
      <c r="M67" s="25" t="s">
        <v>492</v>
      </c>
      <c r="N67" s="26" t="s">
        <v>28</v>
      </c>
      <c r="O67" s="24" t="s">
        <v>340</v>
      </c>
      <c r="P67" s="24" t="s">
        <v>449</v>
      </c>
      <c r="Q67" s="27"/>
      <c r="R67" s="27"/>
      <c r="S67" s="28" t="s">
        <v>493</v>
      </c>
      <c r="T67" s="33" t="s">
        <v>494</v>
      </c>
      <c r="U67" s="29" t="s">
        <v>444</v>
      </c>
      <c r="V67" s="24" t="str">
        <f>VLOOKUP(A67,'tagging table'!A:G,7,0)</f>
        <v>Drinks</v>
      </c>
    </row>
    <row r="68">
      <c r="A68" s="30">
        <v>4.0111216E7</v>
      </c>
      <c r="B68" s="20" t="s">
        <v>495</v>
      </c>
      <c r="C68" s="21">
        <v>0.155</v>
      </c>
      <c r="D68" s="21">
        <v>0.04</v>
      </c>
      <c r="E68" s="21">
        <v>0.02</v>
      </c>
      <c r="F68" s="22">
        <v>15.0</v>
      </c>
      <c r="G68" s="23"/>
      <c r="H68" s="24" t="s">
        <v>496</v>
      </c>
      <c r="I68" s="21" t="s">
        <v>497</v>
      </c>
      <c r="J68" s="24"/>
      <c r="K68" s="24" t="s">
        <v>498</v>
      </c>
      <c r="L68" s="20" t="s">
        <v>499</v>
      </c>
      <c r="M68" s="25" t="s">
        <v>500</v>
      </c>
      <c r="N68" s="26" t="s">
        <v>28</v>
      </c>
      <c r="O68" s="24" t="s">
        <v>501</v>
      </c>
      <c r="P68" s="24" t="s">
        <v>502</v>
      </c>
      <c r="Q68" s="27"/>
      <c r="R68" s="27"/>
      <c r="S68" s="31" t="s">
        <v>503</v>
      </c>
      <c r="T68" s="8" t="s">
        <v>504</v>
      </c>
      <c r="U68" s="29" t="s">
        <v>497</v>
      </c>
      <c r="V68" s="24" t="str">
        <f>VLOOKUP(A68,'tagging table'!A:G,7,0)</f>
        <v>Cashiers</v>
      </c>
    </row>
    <row r="69">
      <c r="A69" s="30">
        <v>7.610113011652E12</v>
      </c>
      <c r="B69" s="20" t="s">
        <v>505</v>
      </c>
      <c r="C69" s="21">
        <v>0.05</v>
      </c>
      <c r="D69" s="21">
        <v>0.215</v>
      </c>
      <c r="E69" s="21">
        <v>0.05</v>
      </c>
      <c r="F69" s="22">
        <v>6.0</v>
      </c>
      <c r="G69" s="23"/>
      <c r="H69" s="24" t="s">
        <v>506</v>
      </c>
      <c r="I69" s="21" t="s">
        <v>507</v>
      </c>
      <c r="J69" s="20" t="s">
        <v>508</v>
      </c>
      <c r="K69" s="24" t="s">
        <v>509</v>
      </c>
      <c r="L69" s="20" t="s">
        <v>510</v>
      </c>
      <c r="M69" s="25" t="s">
        <v>511</v>
      </c>
      <c r="N69" s="26" t="s">
        <v>28</v>
      </c>
      <c r="O69" s="24" t="s">
        <v>512</v>
      </c>
      <c r="P69" s="24" t="s">
        <v>513</v>
      </c>
      <c r="Q69" s="27"/>
      <c r="R69" s="27"/>
      <c r="S69" s="31" t="s">
        <v>514</v>
      </c>
      <c r="T69" s="8" t="s">
        <v>515</v>
      </c>
      <c r="U69" s="29" t="s">
        <v>516</v>
      </c>
      <c r="V69" s="24" t="str">
        <f>VLOOKUP(A69,'tagging table'!A:G,7,0)</f>
        <v>Drinks</v>
      </c>
    </row>
    <row r="70">
      <c r="A70" s="30">
        <v>5.010677552387E12</v>
      </c>
      <c r="B70" s="20" t="s">
        <v>517</v>
      </c>
      <c r="C70" s="21">
        <v>0.058</v>
      </c>
      <c r="D70" s="21">
        <v>0.212</v>
      </c>
      <c r="E70" s="21">
        <v>0.058</v>
      </c>
      <c r="F70" s="22">
        <v>5.0</v>
      </c>
      <c r="G70" s="23"/>
      <c r="H70" s="24" t="s">
        <v>506</v>
      </c>
      <c r="I70" s="21" t="s">
        <v>507</v>
      </c>
      <c r="J70" s="20" t="s">
        <v>508</v>
      </c>
      <c r="K70" s="24" t="s">
        <v>518</v>
      </c>
      <c r="L70" s="20" t="s">
        <v>519</v>
      </c>
      <c r="M70" s="25" t="s">
        <v>520</v>
      </c>
      <c r="N70" s="26" t="s">
        <v>28</v>
      </c>
      <c r="O70" s="24" t="s">
        <v>512</v>
      </c>
      <c r="P70" s="24" t="s">
        <v>513</v>
      </c>
      <c r="Q70" s="27"/>
      <c r="R70" s="27"/>
      <c r="S70" s="31" t="s">
        <v>521</v>
      </c>
      <c r="T70" s="8" t="s">
        <v>522</v>
      </c>
      <c r="U70" s="29" t="s">
        <v>516</v>
      </c>
      <c r="V70" s="24" t="str">
        <f>VLOOKUP(A70,'tagging table'!A:G,7,0)</f>
        <v>Drinks</v>
      </c>
    </row>
    <row r="71">
      <c r="A71" s="30">
        <v>5.010677554398E12</v>
      </c>
      <c r="B71" s="20" t="s">
        <v>523</v>
      </c>
      <c r="C71" s="21">
        <v>0.058</v>
      </c>
      <c r="D71" s="21">
        <v>0.212</v>
      </c>
      <c r="E71" s="21">
        <v>0.058</v>
      </c>
      <c r="F71" s="22">
        <v>5.0</v>
      </c>
      <c r="G71" s="23"/>
      <c r="H71" s="24" t="s">
        <v>506</v>
      </c>
      <c r="I71" s="21" t="s">
        <v>507</v>
      </c>
      <c r="J71" s="20" t="s">
        <v>508</v>
      </c>
      <c r="K71" s="24" t="s">
        <v>524</v>
      </c>
      <c r="L71" s="20" t="s">
        <v>525</v>
      </c>
      <c r="M71" s="25" t="s">
        <v>526</v>
      </c>
      <c r="N71" s="26" t="s">
        <v>28</v>
      </c>
      <c r="O71" s="24" t="s">
        <v>512</v>
      </c>
      <c r="P71" s="24" t="s">
        <v>513</v>
      </c>
      <c r="Q71" s="27"/>
      <c r="R71" s="27"/>
      <c r="S71" s="31" t="s">
        <v>527</v>
      </c>
      <c r="T71" s="8" t="s">
        <v>528</v>
      </c>
      <c r="U71" s="29" t="s">
        <v>516</v>
      </c>
      <c r="V71" s="24" t="str">
        <f>VLOOKUP(A71,'tagging table'!A:G,7,0)</f>
        <v>Drinks</v>
      </c>
    </row>
    <row r="72">
      <c r="A72" s="30">
        <v>5.410228267508E12</v>
      </c>
      <c r="B72" s="20" t="s">
        <v>529</v>
      </c>
      <c r="C72" s="21">
        <v>0.055</v>
      </c>
      <c r="D72" s="21">
        <v>0.23</v>
      </c>
      <c r="E72" s="21">
        <v>0.055</v>
      </c>
      <c r="F72" s="22">
        <v>5.0</v>
      </c>
      <c r="G72" s="23"/>
      <c r="H72" s="24" t="s">
        <v>530</v>
      </c>
      <c r="I72" s="21" t="s">
        <v>531</v>
      </c>
      <c r="J72" s="20" t="s">
        <v>532</v>
      </c>
      <c r="K72" s="24" t="s">
        <v>533</v>
      </c>
      <c r="L72" s="20" t="s">
        <v>534</v>
      </c>
      <c r="M72" s="25" t="s">
        <v>535</v>
      </c>
      <c r="N72" s="26" t="s">
        <v>28</v>
      </c>
      <c r="O72" s="24" t="s">
        <v>365</v>
      </c>
      <c r="P72" s="24" t="s">
        <v>536</v>
      </c>
      <c r="Q72" s="27"/>
      <c r="R72" s="27"/>
      <c r="S72" s="28" t="s">
        <v>537</v>
      </c>
      <c r="T72" s="8" t="s">
        <v>538</v>
      </c>
      <c r="U72" s="29" t="s">
        <v>531</v>
      </c>
      <c r="V72" s="24" t="str">
        <f>VLOOKUP(A72,'tagging table'!A:G,7,0)</f>
        <v>Drinks</v>
      </c>
    </row>
    <row r="73">
      <c r="A73" s="30">
        <v>5.014379009972E12</v>
      </c>
      <c r="B73" s="20" t="s">
        <v>539</v>
      </c>
      <c r="C73" s="21">
        <v>0.055</v>
      </c>
      <c r="D73" s="21">
        <v>0.17</v>
      </c>
      <c r="E73" s="21">
        <v>0.055</v>
      </c>
      <c r="F73" s="22">
        <v>5.0</v>
      </c>
      <c r="G73" s="23"/>
      <c r="H73" s="24" t="s">
        <v>530</v>
      </c>
      <c r="I73" s="21" t="s">
        <v>531</v>
      </c>
      <c r="J73" s="20" t="s">
        <v>532</v>
      </c>
      <c r="K73" s="24" t="s">
        <v>540</v>
      </c>
      <c r="L73" s="20" t="s">
        <v>541</v>
      </c>
      <c r="M73" s="25" t="s">
        <v>542</v>
      </c>
      <c r="N73" s="26" t="s">
        <v>28</v>
      </c>
      <c r="O73" s="24" t="s">
        <v>365</v>
      </c>
      <c r="P73" s="24" t="s">
        <v>543</v>
      </c>
      <c r="Q73" s="27"/>
      <c r="R73" s="27"/>
      <c r="S73" s="31" t="s">
        <v>544</v>
      </c>
      <c r="T73" s="33" t="s">
        <v>545</v>
      </c>
      <c r="U73" s="29" t="s">
        <v>546</v>
      </c>
      <c r="V73" s="24" t="str">
        <f>VLOOKUP(A73,'tagging table'!A:G,7,0)</f>
        <v>Drinks</v>
      </c>
    </row>
    <row r="74">
      <c r="A74" s="30">
        <v>7.2963104E7</v>
      </c>
      <c r="B74" s="20" t="s">
        <v>547</v>
      </c>
      <c r="C74" s="21">
        <v>0.09</v>
      </c>
      <c r="D74" s="21">
        <v>0.053</v>
      </c>
      <c r="E74" s="21">
        <v>0.02</v>
      </c>
      <c r="F74" s="22">
        <v>15.0</v>
      </c>
      <c r="G74" s="23"/>
      <c r="H74" s="32" t="s">
        <v>57</v>
      </c>
      <c r="I74" s="21" t="s">
        <v>548</v>
      </c>
      <c r="J74" s="24"/>
      <c r="K74" s="24" t="s">
        <v>549</v>
      </c>
      <c r="L74" s="20" t="s">
        <v>550</v>
      </c>
      <c r="M74" s="25" t="s">
        <v>551</v>
      </c>
      <c r="N74" s="26" t="s">
        <v>28</v>
      </c>
      <c r="O74" s="24" t="s">
        <v>552</v>
      </c>
      <c r="P74" s="24" t="s">
        <v>553</v>
      </c>
      <c r="Q74" s="27"/>
      <c r="R74" s="27"/>
      <c r="S74" s="28" t="s">
        <v>554</v>
      </c>
      <c r="T74" s="8" t="s">
        <v>555</v>
      </c>
      <c r="U74" s="29" t="s">
        <v>548</v>
      </c>
      <c r="V74" s="24" t="str">
        <f>iferror(VLOOKUP(A74,'tagging table'!A:G,7,0),"")</f>
        <v>Dairy</v>
      </c>
    </row>
    <row r="75">
      <c r="A75" s="30">
        <v>7.290110110352E12</v>
      </c>
      <c r="B75" s="20" t="s">
        <v>556</v>
      </c>
      <c r="C75" s="21">
        <v>0.06</v>
      </c>
      <c r="D75" s="21">
        <v>0.23</v>
      </c>
      <c r="E75" s="21">
        <v>0.06</v>
      </c>
      <c r="F75" s="22">
        <v>5.0</v>
      </c>
      <c r="G75" s="23"/>
      <c r="H75" s="24" t="s">
        <v>557</v>
      </c>
      <c r="I75" s="21" t="s">
        <v>558</v>
      </c>
      <c r="J75" s="20" t="s">
        <v>361</v>
      </c>
      <c r="K75" s="24" t="s">
        <v>559</v>
      </c>
      <c r="L75" s="20" t="s">
        <v>560</v>
      </c>
      <c r="M75" s="25" t="s">
        <v>561</v>
      </c>
      <c r="N75" s="26" t="s">
        <v>28</v>
      </c>
      <c r="O75" s="24" t="s">
        <v>562</v>
      </c>
      <c r="P75" s="24" t="s">
        <v>563</v>
      </c>
      <c r="Q75" s="27"/>
      <c r="R75" s="27"/>
      <c r="S75" s="31" t="s">
        <v>564</v>
      </c>
      <c r="T75" s="8" t="s">
        <v>565</v>
      </c>
      <c r="U75" s="29" t="s">
        <v>566</v>
      </c>
      <c r="V75" s="24" t="str">
        <f>iferror(VLOOKUP(A75,'tagging table'!A:G,7,0),"")</f>
        <v>Drinks</v>
      </c>
    </row>
    <row r="76">
      <c r="A76" s="30">
        <v>7.290008909761E12</v>
      </c>
      <c r="B76" s="20" t="s">
        <v>567</v>
      </c>
      <c r="C76" s="21">
        <v>0.056</v>
      </c>
      <c r="D76" s="21">
        <v>0.233</v>
      </c>
      <c r="E76" s="21">
        <v>0.056</v>
      </c>
      <c r="F76" s="22">
        <v>5.0</v>
      </c>
      <c r="G76" s="23"/>
      <c r="H76" s="24" t="s">
        <v>557</v>
      </c>
      <c r="I76" s="21" t="s">
        <v>558</v>
      </c>
      <c r="J76" s="20" t="s">
        <v>361</v>
      </c>
      <c r="K76" s="24" t="s">
        <v>568</v>
      </c>
      <c r="L76" s="20" t="s">
        <v>569</v>
      </c>
      <c r="M76" s="25" t="s">
        <v>570</v>
      </c>
      <c r="N76" s="26" t="s">
        <v>37</v>
      </c>
      <c r="O76" s="24" t="s">
        <v>365</v>
      </c>
      <c r="P76" s="24" t="s">
        <v>536</v>
      </c>
      <c r="Q76" s="27"/>
      <c r="R76" s="27"/>
      <c r="S76" s="28" t="s">
        <v>571</v>
      </c>
      <c r="T76" s="8" t="s">
        <v>572</v>
      </c>
      <c r="U76" s="29" t="e">
        <v>#N/A</v>
      </c>
      <c r="V76" s="21" t="s">
        <v>573</v>
      </c>
    </row>
    <row r="77">
      <c r="A77" s="30">
        <v>7.290001594568E12</v>
      </c>
      <c r="B77" s="20" t="s">
        <v>574</v>
      </c>
      <c r="C77" s="21">
        <v>0.065</v>
      </c>
      <c r="D77" s="21">
        <v>0.17</v>
      </c>
      <c r="E77" s="21">
        <v>0.06</v>
      </c>
      <c r="F77" s="22">
        <v>5.0</v>
      </c>
      <c r="G77" s="23"/>
      <c r="H77" s="24" t="s">
        <v>557</v>
      </c>
      <c r="I77" s="21" t="s">
        <v>558</v>
      </c>
      <c r="J77" s="20" t="s">
        <v>361</v>
      </c>
      <c r="K77" s="24" t="s">
        <v>575</v>
      </c>
      <c r="L77" s="20" t="s">
        <v>576</v>
      </c>
      <c r="M77" s="25" t="s">
        <v>577</v>
      </c>
      <c r="N77" s="26" t="s">
        <v>37</v>
      </c>
      <c r="O77" s="24" t="s">
        <v>365</v>
      </c>
      <c r="P77" s="24" t="s">
        <v>543</v>
      </c>
      <c r="Q77" s="27"/>
      <c r="R77" s="27"/>
      <c r="S77" s="31" t="s">
        <v>578</v>
      </c>
      <c r="T77" s="33" t="s">
        <v>579</v>
      </c>
      <c r="U77" s="29" t="e">
        <v>#N/A</v>
      </c>
      <c r="V77" s="21" t="s">
        <v>573</v>
      </c>
    </row>
    <row r="78">
      <c r="A78" s="30">
        <v>7.290110113421E12</v>
      </c>
      <c r="B78" s="20" t="s">
        <v>580</v>
      </c>
      <c r="C78" s="21">
        <v>0.055</v>
      </c>
      <c r="D78" s="21">
        <v>0.226</v>
      </c>
      <c r="E78" s="21">
        <v>0.055</v>
      </c>
      <c r="F78" s="22">
        <v>5.0</v>
      </c>
      <c r="G78" s="23"/>
      <c r="H78" s="24" t="s">
        <v>557</v>
      </c>
      <c r="I78" s="21" t="s">
        <v>558</v>
      </c>
      <c r="J78" s="20" t="s">
        <v>361</v>
      </c>
      <c r="K78" s="24" t="s">
        <v>581</v>
      </c>
      <c r="L78" s="20" t="s">
        <v>582</v>
      </c>
      <c r="M78" s="25" t="s">
        <v>583</v>
      </c>
      <c r="N78" s="26" t="s">
        <v>28</v>
      </c>
      <c r="O78" s="24" t="s">
        <v>365</v>
      </c>
      <c r="P78" s="24" t="s">
        <v>536</v>
      </c>
      <c r="Q78" s="27"/>
      <c r="R78" s="27"/>
      <c r="S78" s="28" t="s">
        <v>584</v>
      </c>
      <c r="T78" s="8" t="s">
        <v>585</v>
      </c>
      <c r="U78" s="29" t="s">
        <v>566</v>
      </c>
      <c r="V78" s="24" t="str">
        <f>iferror(VLOOKUP(A78,'tagging table'!A:G,7,0),"")</f>
        <v>Drinks</v>
      </c>
    </row>
    <row r="79">
      <c r="A79" s="30">
        <v>7.290002022152E12</v>
      </c>
      <c r="B79" s="20" t="s">
        <v>586</v>
      </c>
      <c r="C79" s="21">
        <v>0.14</v>
      </c>
      <c r="D79" s="21">
        <v>0.24</v>
      </c>
      <c r="E79" s="21">
        <v>0.04</v>
      </c>
      <c r="F79" s="22">
        <v>8.0</v>
      </c>
      <c r="G79" s="23"/>
      <c r="H79" s="24" t="s">
        <v>587</v>
      </c>
      <c r="I79" s="21" t="s">
        <v>588</v>
      </c>
      <c r="J79" s="24"/>
      <c r="K79" s="24" t="s">
        <v>589</v>
      </c>
      <c r="L79" s="20" t="s">
        <v>590</v>
      </c>
      <c r="M79" s="25" t="s">
        <v>591</v>
      </c>
      <c r="N79" s="26" t="s">
        <v>37</v>
      </c>
      <c r="O79" s="24" t="s">
        <v>592</v>
      </c>
      <c r="P79" s="24" t="s">
        <v>593</v>
      </c>
      <c r="Q79" s="27"/>
      <c r="R79" s="27"/>
      <c r="S79" s="28" t="s">
        <v>594</v>
      </c>
      <c r="T79" s="33" t="s">
        <v>595</v>
      </c>
      <c r="U79" s="29" t="e">
        <v>#N/A</v>
      </c>
      <c r="V79" s="21" t="s">
        <v>596</v>
      </c>
    </row>
    <row r="80">
      <c r="A80" s="30">
        <v>7.290106720626E12</v>
      </c>
      <c r="B80" s="20" t="s">
        <v>597</v>
      </c>
      <c r="C80" s="21">
        <v>0.14</v>
      </c>
      <c r="D80" s="21">
        <v>0.18</v>
      </c>
      <c r="E80" s="21">
        <v>0.06</v>
      </c>
      <c r="F80" s="22">
        <v>5.0</v>
      </c>
      <c r="G80" s="23"/>
      <c r="H80" s="36" t="s">
        <v>598</v>
      </c>
      <c r="I80" s="21" t="s">
        <v>599</v>
      </c>
      <c r="J80" s="24"/>
      <c r="K80" s="24" t="s">
        <v>600</v>
      </c>
      <c r="L80" s="20" t="s">
        <v>601</v>
      </c>
      <c r="M80" s="25" t="s">
        <v>602</v>
      </c>
      <c r="N80" s="26" t="s">
        <v>28</v>
      </c>
      <c r="O80" s="24" t="s">
        <v>109</v>
      </c>
      <c r="P80" s="24" t="s">
        <v>603</v>
      </c>
      <c r="Q80" s="27"/>
      <c r="R80" s="27"/>
      <c r="S80" s="31" t="s">
        <v>604</v>
      </c>
      <c r="T80" s="33" t="s">
        <v>602</v>
      </c>
      <c r="U80" s="29" t="s">
        <v>599</v>
      </c>
      <c r="V80" s="21" t="s">
        <v>113</v>
      </c>
    </row>
    <row r="81">
      <c r="A81" s="30">
        <v>7.290106660649E12</v>
      </c>
      <c r="B81" s="20" t="s">
        <v>605</v>
      </c>
      <c r="C81" s="21">
        <v>0.14</v>
      </c>
      <c r="D81" s="21">
        <v>0.18</v>
      </c>
      <c r="E81" s="21">
        <v>0.06</v>
      </c>
      <c r="F81" s="22">
        <v>5.0</v>
      </c>
      <c r="G81" s="23"/>
      <c r="H81" s="36" t="s">
        <v>598</v>
      </c>
      <c r="I81" s="21" t="s">
        <v>599</v>
      </c>
      <c r="J81" s="24"/>
      <c r="K81" s="24" t="s">
        <v>606</v>
      </c>
      <c r="L81" s="20" t="s">
        <v>607</v>
      </c>
      <c r="M81" s="25" t="s">
        <v>608</v>
      </c>
      <c r="N81" s="26" t="s">
        <v>28</v>
      </c>
      <c r="O81" s="24" t="s">
        <v>109</v>
      </c>
      <c r="P81" s="24" t="s">
        <v>603</v>
      </c>
      <c r="Q81" s="27"/>
      <c r="R81" s="27"/>
      <c r="S81" s="31" t="s">
        <v>609</v>
      </c>
      <c r="T81" s="33" t="s">
        <v>608</v>
      </c>
      <c r="U81" s="29" t="s">
        <v>599</v>
      </c>
      <c r="V81" s="21" t="s">
        <v>113</v>
      </c>
    </row>
    <row r="82">
      <c r="A82" s="30">
        <v>5.410769800097E12</v>
      </c>
      <c r="B82" s="20" t="s">
        <v>610</v>
      </c>
      <c r="C82" s="21">
        <v>0.06</v>
      </c>
      <c r="D82" s="21">
        <v>0.158</v>
      </c>
      <c r="E82" s="21">
        <v>0.06</v>
      </c>
      <c r="F82" s="22">
        <v>5.0</v>
      </c>
      <c r="G82" s="23"/>
      <c r="H82" s="24" t="s">
        <v>611</v>
      </c>
      <c r="I82" s="21" t="s">
        <v>612</v>
      </c>
      <c r="J82" s="20" t="s">
        <v>532</v>
      </c>
      <c r="K82" s="24" t="s">
        <v>613</v>
      </c>
      <c r="L82" s="20" t="s">
        <v>614</v>
      </c>
      <c r="M82" s="25" t="s">
        <v>615</v>
      </c>
      <c r="N82" s="26" t="s">
        <v>28</v>
      </c>
      <c r="O82" s="24" t="s">
        <v>365</v>
      </c>
      <c r="P82" s="24" t="s">
        <v>536</v>
      </c>
      <c r="Q82" s="27"/>
      <c r="R82" s="27"/>
      <c r="S82" s="28" t="s">
        <v>616</v>
      </c>
      <c r="T82" s="8" t="s">
        <v>617</v>
      </c>
      <c r="U82" s="29" t="s">
        <v>618</v>
      </c>
      <c r="V82" s="24" t="str">
        <f>iferror(VLOOKUP(A82,'tagging table'!A:G,7,0),"")</f>
        <v>Drinks</v>
      </c>
    </row>
    <row r="83">
      <c r="A83" s="30">
        <v>7.290000170077E12</v>
      </c>
      <c r="B83" s="20" t="s">
        <v>619</v>
      </c>
      <c r="C83" s="21">
        <v>0.16</v>
      </c>
      <c r="D83" s="21">
        <v>0.079</v>
      </c>
      <c r="E83" s="21">
        <v>0.02</v>
      </c>
      <c r="F83" s="22">
        <v>15.0</v>
      </c>
      <c r="G83" s="23"/>
      <c r="H83" s="24" t="s">
        <v>620</v>
      </c>
      <c r="I83" s="21" t="s">
        <v>621</v>
      </c>
      <c r="J83" s="21" t="s">
        <v>622</v>
      </c>
      <c r="K83" s="24" t="s">
        <v>623</v>
      </c>
      <c r="L83" s="20" t="s">
        <v>624</v>
      </c>
      <c r="M83" s="25" t="s">
        <v>625</v>
      </c>
      <c r="N83" s="26" t="s">
        <v>37</v>
      </c>
      <c r="O83" s="24" t="s">
        <v>626</v>
      </c>
      <c r="P83" s="24" t="s">
        <v>627</v>
      </c>
      <c r="Q83" s="27"/>
      <c r="R83" s="27"/>
      <c r="S83" s="28" t="s">
        <v>628</v>
      </c>
      <c r="T83" s="8" t="s">
        <v>629</v>
      </c>
      <c r="U83" s="29" t="e">
        <v>#N/A</v>
      </c>
      <c r="V83" s="21" t="s">
        <v>596</v>
      </c>
    </row>
    <row r="84">
      <c r="A84" s="30">
        <v>7.290112351197E12</v>
      </c>
      <c r="B84" s="20" t="s">
        <v>630</v>
      </c>
      <c r="C84" s="21">
        <v>0.16</v>
      </c>
      <c r="D84" s="21">
        <v>0.079</v>
      </c>
      <c r="E84" s="21">
        <v>0.01</v>
      </c>
      <c r="F84" s="22">
        <v>30.0</v>
      </c>
      <c r="G84" s="23"/>
      <c r="H84" s="24" t="s">
        <v>620</v>
      </c>
      <c r="I84" s="21" t="s">
        <v>621</v>
      </c>
      <c r="J84" s="21" t="s">
        <v>622</v>
      </c>
      <c r="K84" s="24" t="s">
        <v>631</v>
      </c>
      <c r="L84" s="20" t="s">
        <v>632</v>
      </c>
      <c r="M84" s="25" t="s">
        <v>633</v>
      </c>
      <c r="N84" s="26" t="s">
        <v>28</v>
      </c>
      <c r="O84" s="24" t="s">
        <v>626</v>
      </c>
      <c r="P84" s="24" t="s">
        <v>627</v>
      </c>
      <c r="Q84" s="27"/>
      <c r="R84" s="27"/>
      <c r="S84" s="28" t="s">
        <v>634</v>
      </c>
      <c r="T84" s="8" t="s">
        <v>635</v>
      </c>
      <c r="U84" s="29" t="s">
        <v>636</v>
      </c>
      <c r="V84" s="24" t="str">
        <f>iferror(VLOOKUP(A84,'tagging table'!A:G,7,0),"")</f>
        <v>Sweets</v>
      </c>
    </row>
    <row r="85">
      <c r="A85" s="30">
        <v>7.290107951623E12</v>
      </c>
      <c r="B85" s="20" t="s">
        <v>637</v>
      </c>
      <c r="C85" s="21">
        <v>0.16</v>
      </c>
      <c r="D85" s="21">
        <v>0.079</v>
      </c>
      <c r="E85" s="21">
        <v>0.02</v>
      </c>
      <c r="F85" s="22">
        <v>15.0</v>
      </c>
      <c r="G85" s="23"/>
      <c r="H85" s="24" t="s">
        <v>620</v>
      </c>
      <c r="I85" s="21" t="s">
        <v>621</v>
      </c>
      <c r="J85" s="21" t="s">
        <v>622</v>
      </c>
      <c r="K85" s="24" t="s">
        <v>638</v>
      </c>
      <c r="L85" s="20" t="s">
        <v>639</v>
      </c>
      <c r="M85" s="25" t="s">
        <v>640</v>
      </c>
      <c r="N85" s="26" t="s">
        <v>28</v>
      </c>
      <c r="O85" s="24" t="s">
        <v>641</v>
      </c>
      <c r="P85" s="24" t="s">
        <v>642</v>
      </c>
      <c r="Q85" s="27"/>
      <c r="R85" s="27"/>
      <c r="S85" s="28" t="s">
        <v>643</v>
      </c>
      <c r="T85" s="8" t="s">
        <v>644</v>
      </c>
      <c r="U85" s="29" t="s">
        <v>636</v>
      </c>
      <c r="V85" s="24" t="str">
        <f>iferror(VLOOKUP(A85,'tagging table'!A:G,7,0),"")</f>
        <v>Sweets</v>
      </c>
    </row>
    <row r="86">
      <c r="A86" s="30">
        <v>7.290008747431E12</v>
      </c>
      <c r="B86" s="20" t="s">
        <v>645</v>
      </c>
      <c r="C86" s="21">
        <v>0.04</v>
      </c>
      <c r="D86" s="21">
        <v>0.15</v>
      </c>
      <c r="E86" s="21">
        <v>0.02</v>
      </c>
      <c r="F86" s="22">
        <v>15.0</v>
      </c>
      <c r="G86" s="23"/>
      <c r="H86" s="24" t="s">
        <v>620</v>
      </c>
      <c r="I86" s="21" t="s">
        <v>621</v>
      </c>
      <c r="J86" s="21" t="s">
        <v>622</v>
      </c>
      <c r="K86" s="24" t="s">
        <v>646</v>
      </c>
      <c r="L86" s="20" t="s">
        <v>647</v>
      </c>
      <c r="M86" s="25" t="s">
        <v>648</v>
      </c>
      <c r="N86" s="26" t="s">
        <v>37</v>
      </c>
      <c r="O86" s="24" t="s">
        <v>626</v>
      </c>
      <c r="P86" s="24" t="s">
        <v>649</v>
      </c>
      <c r="Q86" s="27"/>
      <c r="R86" s="27"/>
      <c r="S86" s="28" t="s">
        <v>650</v>
      </c>
      <c r="T86" s="8" t="s">
        <v>651</v>
      </c>
      <c r="U86" s="29" t="e">
        <v>#N/A</v>
      </c>
      <c r="V86" s="21" t="s">
        <v>596</v>
      </c>
    </row>
    <row r="87">
      <c r="A87" s="30">
        <v>7.290008747424E12</v>
      </c>
      <c r="B87" s="20" t="s">
        <v>652</v>
      </c>
      <c r="C87" s="21">
        <v>0.16</v>
      </c>
      <c r="D87" s="21">
        <v>0.079</v>
      </c>
      <c r="E87" s="21">
        <v>0.02</v>
      </c>
      <c r="F87" s="22">
        <v>15.0</v>
      </c>
      <c r="G87" s="23"/>
      <c r="H87" s="24" t="s">
        <v>620</v>
      </c>
      <c r="I87" s="21" t="s">
        <v>621</v>
      </c>
      <c r="J87" s="21" t="s">
        <v>622</v>
      </c>
      <c r="K87" s="24" t="s">
        <v>653</v>
      </c>
      <c r="L87" s="20" t="s">
        <v>654</v>
      </c>
      <c r="M87" s="25" t="s">
        <v>655</v>
      </c>
      <c r="N87" s="26" t="s">
        <v>37</v>
      </c>
      <c r="O87" s="24" t="s">
        <v>626</v>
      </c>
      <c r="P87" s="24" t="s">
        <v>649</v>
      </c>
      <c r="Q87" s="27"/>
      <c r="R87" s="27"/>
      <c r="S87" s="28" t="s">
        <v>656</v>
      </c>
      <c r="T87" s="8" t="s">
        <v>657</v>
      </c>
      <c r="U87" s="29" t="e">
        <v>#N/A</v>
      </c>
      <c r="V87" s="21" t="s">
        <v>596</v>
      </c>
    </row>
    <row r="88">
      <c r="A88" s="30">
        <v>7.29011235121E12</v>
      </c>
      <c r="B88" s="20" t="s">
        <v>658</v>
      </c>
      <c r="C88" s="21">
        <v>0.16</v>
      </c>
      <c r="D88" s="21">
        <v>0.079</v>
      </c>
      <c r="E88" s="21">
        <v>0.01</v>
      </c>
      <c r="F88" s="22">
        <v>30.0</v>
      </c>
      <c r="G88" s="23"/>
      <c r="H88" s="24" t="s">
        <v>620</v>
      </c>
      <c r="I88" s="21" t="s">
        <v>621</v>
      </c>
      <c r="J88" s="21" t="s">
        <v>622</v>
      </c>
      <c r="K88" s="24" t="s">
        <v>659</v>
      </c>
      <c r="L88" s="20" t="s">
        <v>660</v>
      </c>
      <c r="M88" s="25" t="s">
        <v>661</v>
      </c>
      <c r="N88" s="26" t="s">
        <v>28</v>
      </c>
      <c r="O88" s="24" t="s">
        <v>626</v>
      </c>
      <c r="P88" s="24" t="s">
        <v>627</v>
      </c>
      <c r="Q88" s="27"/>
      <c r="R88" s="27"/>
      <c r="S88" s="28" t="s">
        <v>662</v>
      </c>
      <c r="T88" s="8" t="s">
        <v>663</v>
      </c>
      <c r="U88" s="29" t="s">
        <v>636</v>
      </c>
      <c r="V88" s="24" t="str">
        <f>iferror(VLOOKUP(A88,'tagging table'!A:G,7,0),"")</f>
        <v>Sweets</v>
      </c>
    </row>
    <row r="89">
      <c r="A89" s="30">
        <v>7.290005200908E12</v>
      </c>
      <c r="B89" s="20" t="s">
        <v>664</v>
      </c>
      <c r="C89" s="21">
        <v>0.135</v>
      </c>
      <c r="D89" s="21">
        <v>0.135</v>
      </c>
      <c r="E89" s="21">
        <v>0.015</v>
      </c>
      <c r="F89" s="22">
        <v>20.0</v>
      </c>
      <c r="G89" s="23"/>
      <c r="H89" s="24" t="s">
        <v>620</v>
      </c>
      <c r="I89" s="21" t="s">
        <v>621</v>
      </c>
      <c r="J89" s="21" t="s">
        <v>622</v>
      </c>
      <c r="K89" s="24" t="s">
        <v>665</v>
      </c>
      <c r="L89" s="20" t="s">
        <v>666</v>
      </c>
      <c r="M89" s="25" t="s">
        <v>667</v>
      </c>
      <c r="N89" s="26" t="s">
        <v>37</v>
      </c>
      <c r="O89" s="24" t="s">
        <v>626</v>
      </c>
      <c r="P89" s="24" t="s">
        <v>649</v>
      </c>
      <c r="Q89" s="27"/>
      <c r="R89" s="27"/>
      <c r="S89" s="28" t="s">
        <v>668</v>
      </c>
      <c r="T89" s="8" t="s">
        <v>669</v>
      </c>
      <c r="U89" s="29" t="e">
        <v>#N/A</v>
      </c>
      <c r="V89" s="21" t="s">
        <v>596</v>
      </c>
    </row>
    <row r="90">
      <c r="A90" s="30">
        <v>7.290000170053E12</v>
      </c>
      <c r="B90" s="20" t="s">
        <v>670</v>
      </c>
      <c r="C90" s="21">
        <v>0.16</v>
      </c>
      <c r="D90" s="21">
        <v>0.079</v>
      </c>
      <c r="E90" s="21">
        <v>0.02</v>
      </c>
      <c r="F90" s="22">
        <v>15.0</v>
      </c>
      <c r="G90" s="23"/>
      <c r="H90" s="24" t="s">
        <v>620</v>
      </c>
      <c r="I90" s="21" t="s">
        <v>621</v>
      </c>
      <c r="J90" s="21" t="s">
        <v>622</v>
      </c>
      <c r="K90" s="24" t="s">
        <v>671</v>
      </c>
      <c r="L90" s="20" t="s">
        <v>672</v>
      </c>
      <c r="M90" s="25" t="s">
        <v>673</v>
      </c>
      <c r="N90" s="26" t="s">
        <v>37</v>
      </c>
      <c r="O90" s="24" t="s">
        <v>626</v>
      </c>
      <c r="P90" s="24" t="s">
        <v>627</v>
      </c>
      <c r="Q90" s="27"/>
      <c r="R90" s="27"/>
      <c r="S90" s="28" t="s">
        <v>674</v>
      </c>
      <c r="T90" s="8" t="s">
        <v>675</v>
      </c>
      <c r="U90" s="29" t="e">
        <v>#N/A</v>
      </c>
      <c r="V90" s="21" t="s">
        <v>596</v>
      </c>
    </row>
    <row r="91">
      <c r="A91" s="30">
        <v>7.290112351098E12</v>
      </c>
      <c r="B91" s="20" t="s">
        <v>676</v>
      </c>
      <c r="C91" s="21">
        <v>0.16</v>
      </c>
      <c r="D91" s="21">
        <v>0.08</v>
      </c>
      <c r="E91" s="21">
        <v>0.01</v>
      </c>
      <c r="F91" s="22">
        <v>30.0</v>
      </c>
      <c r="G91" s="23"/>
      <c r="H91" s="24" t="s">
        <v>620</v>
      </c>
      <c r="I91" s="21" t="s">
        <v>621</v>
      </c>
      <c r="J91" s="21" t="s">
        <v>622</v>
      </c>
      <c r="K91" s="24" t="s">
        <v>677</v>
      </c>
      <c r="L91" s="20" t="s">
        <v>678</v>
      </c>
      <c r="M91" s="25" t="s">
        <v>679</v>
      </c>
      <c r="N91" s="26" t="s">
        <v>28</v>
      </c>
      <c r="O91" s="24" t="s">
        <v>626</v>
      </c>
      <c r="P91" s="24" t="s">
        <v>649</v>
      </c>
      <c r="Q91" s="27"/>
      <c r="R91" s="27"/>
      <c r="S91" s="28" t="s">
        <v>680</v>
      </c>
      <c r="T91" s="8" t="s">
        <v>681</v>
      </c>
      <c r="U91" s="29" t="s">
        <v>636</v>
      </c>
      <c r="V91" s="24" t="str">
        <f>iferror(VLOOKUP(A91,'tagging table'!A:G,7,0),"")</f>
        <v>Sweets</v>
      </c>
    </row>
    <row r="92">
      <c r="A92" s="30">
        <v>7.290112348548E12</v>
      </c>
      <c r="B92" s="20" t="s">
        <v>682</v>
      </c>
      <c r="C92" s="21">
        <v>0.16</v>
      </c>
      <c r="D92" s="21">
        <v>0.079</v>
      </c>
      <c r="E92" s="21">
        <v>0.02</v>
      </c>
      <c r="F92" s="22">
        <v>15.0</v>
      </c>
      <c r="G92" s="23"/>
      <c r="H92" s="24" t="s">
        <v>620</v>
      </c>
      <c r="I92" s="21" t="s">
        <v>621</v>
      </c>
      <c r="J92" s="21" t="s">
        <v>622</v>
      </c>
      <c r="K92" s="24" t="s">
        <v>683</v>
      </c>
      <c r="L92" s="20" t="s">
        <v>684</v>
      </c>
      <c r="M92" s="25" t="s">
        <v>685</v>
      </c>
      <c r="N92" s="26" t="s">
        <v>28</v>
      </c>
      <c r="O92" s="24" t="s">
        <v>641</v>
      </c>
      <c r="P92" s="24" t="s">
        <v>642</v>
      </c>
      <c r="Q92" s="27"/>
      <c r="R92" s="27"/>
      <c r="S92" s="28" t="s">
        <v>686</v>
      </c>
      <c r="T92" s="8" t="s">
        <v>687</v>
      </c>
      <c r="U92" s="29" t="s">
        <v>636</v>
      </c>
      <c r="V92" s="24" t="str">
        <f>iferror(VLOOKUP(A92,'tagging table'!A:G,7,0),"")</f>
        <v>Sweets</v>
      </c>
    </row>
    <row r="93">
      <c r="A93" s="30">
        <v>7.2900087504E12</v>
      </c>
      <c r="B93" s="20" t="s">
        <v>688</v>
      </c>
      <c r="C93" s="21">
        <v>0.16</v>
      </c>
      <c r="D93" s="21">
        <v>0.079</v>
      </c>
      <c r="E93" s="21">
        <v>0.02</v>
      </c>
      <c r="F93" s="22">
        <v>15.0</v>
      </c>
      <c r="G93" s="23"/>
      <c r="H93" s="24" t="s">
        <v>620</v>
      </c>
      <c r="I93" s="21" t="s">
        <v>621</v>
      </c>
      <c r="J93" s="21" t="s">
        <v>622</v>
      </c>
      <c r="K93" s="24" t="s">
        <v>689</v>
      </c>
      <c r="L93" s="20" t="s">
        <v>690</v>
      </c>
      <c r="M93" s="25" t="s">
        <v>691</v>
      </c>
      <c r="N93" s="26" t="s">
        <v>37</v>
      </c>
      <c r="O93" s="24" t="s">
        <v>626</v>
      </c>
      <c r="P93" s="24" t="s">
        <v>649</v>
      </c>
      <c r="Q93" s="27"/>
      <c r="R93" s="27"/>
      <c r="S93" s="28" t="s">
        <v>692</v>
      </c>
      <c r="T93" s="8" t="s">
        <v>693</v>
      </c>
      <c r="U93" s="29" t="e">
        <v>#N/A</v>
      </c>
      <c r="V93" s="21" t="s">
        <v>596</v>
      </c>
    </row>
    <row r="94">
      <c r="A94" s="30">
        <v>42855.0</v>
      </c>
      <c r="B94" s="20" t="s">
        <v>694</v>
      </c>
      <c r="C94" s="21">
        <v>0.09</v>
      </c>
      <c r="D94" s="21">
        <v>0.145</v>
      </c>
      <c r="E94" s="21">
        <v>0.09</v>
      </c>
      <c r="F94" s="22">
        <v>3.0</v>
      </c>
      <c r="G94" s="23"/>
      <c r="H94" s="32" t="s">
        <v>695</v>
      </c>
      <c r="I94" s="21" t="s">
        <v>696</v>
      </c>
      <c r="J94" s="24"/>
      <c r="K94" s="24" t="s">
        <v>697</v>
      </c>
      <c r="L94" s="20" t="s">
        <v>698</v>
      </c>
      <c r="M94" s="25" t="s">
        <v>699</v>
      </c>
      <c r="N94" s="26" t="s">
        <v>28</v>
      </c>
      <c r="O94" s="24" t="s">
        <v>700</v>
      </c>
      <c r="P94" s="24" t="s">
        <v>701</v>
      </c>
      <c r="Q94" s="27"/>
      <c r="R94" s="27"/>
      <c r="S94" s="28" t="s">
        <v>702</v>
      </c>
      <c r="T94" s="8" t="s">
        <v>703</v>
      </c>
      <c r="U94" s="29" t="s">
        <v>696</v>
      </c>
      <c r="V94" s="24" t="str">
        <f>iferror(VLOOKUP(A94,'tagging table'!A:G,7,0),"")</f>
        <v>Dairy</v>
      </c>
    </row>
    <row r="95">
      <c r="A95" s="30">
        <v>4131531.0</v>
      </c>
      <c r="B95" s="20" t="s">
        <v>704</v>
      </c>
      <c r="C95" s="21">
        <v>0.08</v>
      </c>
      <c r="D95" s="21">
        <v>0.26</v>
      </c>
      <c r="E95" s="21">
        <v>0.075</v>
      </c>
      <c r="F95" s="22">
        <v>4.0</v>
      </c>
      <c r="G95" s="23"/>
      <c r="H95" s="32" t="s">
        <v>57</v>
      </c>
      <c r="I95" s="21" t="s">
        <v>705</v>
      </c>
      <c r="J95" s="24"/>
      <c r="K95" s="24" t="s">
        <v>706</v>
      </c>
      <c r="L95" s="20" t="s">
        <v>707</v>
      </c>
      <c r="M95" s="25" t="s">
        <v>708</v>
      </c>
      <c r="N95" s="26" t="s">
        <v>28</v>
      </c>
      <c r="O95" s="24" t="s">
        <v>700</v>
      </c>
      <c r="P95" s="24" t="s">
        <v>709</v>
      </c>
      <c r="Q95" s="27"/>
      <c r="R95" s="27"/>
      <c r="S95" s="31" t="s">
        <v>710</v>
      </c>
      <c r="T95" s="8" t="s">
        <v>711</v>
      </c>
      <c r="U95" s="29" t="s">
        <v>705</v>
      </c>
      <c r="V95" s="24" t="str">
        <f>iferror(VLOOKUP(A95,'tagging table'!A:G,7,0),"")</f>
        <v>Dairy</v>
      </c>
    </row>
    <row r="96">
      <c r="A96" s="30">
        <v>7.290000336282E12</v>
      </c>
      <c r="B96" s="20" t="s">
        <v>712</v>
      </c>
      <c r="C96" s="21">
        <v>0.06</v>
      </c>
      <c r="D96" s="21">
        <v>0.225</v>
      </c>
      <c r="E96" s="21">
        <v>0.06</v>
      </c>
      <c r="F96" s="22">
        <v>5.0</v>
      </c>
      <c r="G96" s="23"/>
      <c r="H96" s="24" t="s">
        <v>713</v>
      </c>
      <c r="I96" s="21" t="s">
        <v>714</v>
      </c>
      <c r="J96" s="20" t="s">
        <v>361</v>
      </c>
      <c r="K96" s="24" t="s">
        <v>715</v>
      </c>
      <c r="L96" s="20" t="s">
        <v>716</v>
      </c>
      <c r="M96" s="25" t="s">
        <v>717</v>
      </c>
      <c r="N96" s="26" t="s">
        <v>37</v>
      </c>
      <c r="O96" s="24" t="s">
        <v>718</v>
      </c>
      <c r="P96" s="24" t="s">
        <v>719</v>
      </c>
      <c r="Q96" s="27"/>
      <c r="R96" s="27"/>
      <c r="S96" s="31" t="s">
        <v>720</v>
      </c>
      <c r="T96" s="33" t="s">
        <v>721</v>
      </c>
      <c r="U96" s="29" t="e">
        <v>#N/A</v>
      </c>
      <c r="V96" s="21" t="s">
        <v>573</v>
      </c>
    </row>
    <row r="97">
      <c r="A97" s="30">
        <v>7.290112494221E12</v>
      </c>
      <c r="B97" s="20" t="s">
        <v>722</v>
      </c>
      <c r="C97" s="21">
        <v>0.083</v>
      </c>
      <c r="D97" s="21">
        <v>0.12</v>
      </c>
      <c r="E97" s="21">
        <v>0.02</v>
      </c>
      <c r="F97" s="22">
        <v>15.0</v>
      </c>
      <c r="G97" s="23"/>
      <c r="H97" s="24" t="s">
        <v>723</v>
      </c>
      <c r="I97" s="21" t="s">
        <v>724</v>
      </c>
      <c r="J97" s="21" t="s">
        <v>725</v>
      </c>
      <c r="K97" s="24" t="s">
        <v>726</v>
      </c>
      <c r="L97" s="20" t="s">
        <v>727</v>
      </c>
      <c r="M97" s="25" t="s">
        <v>728</v>
      </c>
      <c r="N97" s="26" t="s">
        <v>28</v>
      </c>
      <c r="O97" s="24" t="s">
        <v>501</v>
      </c>
      <c r="P97" s="24" t="s">
        <v>729</v>
      </c>
      <c r="Q97" s="27"/>
      <c r="R97" s="27"/>
      <c r="S97" s="28" t="s">
        <v>730</v>
      </c>
      <c r="T97" s="8" t="s">
        <v>731</v>
      </c>
      <c r="U97" s="29" t="s">
        <v>724</v>
      </c>
      <c r="V97" s="24" t="str">
        <f>iferror(VLOOKUP(A97,'tagging table'!A:G,7,0),"")</f>
        <v>Sweets</v>
      </c>
    </row>
    <row r="98">
      <c r="A98" s="30">
        <v>7.290112494313E12</v>
      </c>
      <c r="B98" s="20" t="s">
        <v>732</v>
      </c>
      <c r="C98" s="21">
        <v>0.083</v>
      </c>
      <c r="D98" s="21">
        <v>0.12</v>
      </c>
      <c r="E98" s="21">
        <v>0.02</v>
      </c>
      <c r="F98" s="22">
        <v>15.0</v>
      </c>
      <c r="G98" s="23"/>
      <c r="H98" s="24" t="s">
        <v>723</v>
      </c>
      <c r="I98" s="21" t="s">
        <v>724</v>
      </c>
      <c r="J98" s="21" t="s">
        <v>725</v>
      </c>
      <c r="K98" s="24" t="s">
        <v>733</v>
      </c>
      <c r="L98" s="20" t="s">
        <v>734</v>
      </c>
      <c r="M98" s="25" t="s">
        <v>735</v>
      </c>
      <c r="N98" s="26" t="s">
        <v>28</v>
      </c>
      <c r="O98" s="24" t="s">
        <v>501</v>
      </c>
      <c r="P98" s="24" t="s">
        <v>729</v>
      </c>
      <c r="Q98" s="27"/>
      <c r="R98" s="27"/>
      <c r="S98" s="28" t="s">
        <v>736</v>
      </c>
      <c r="T98" s="8" t="s">
        <v>737</v>
      </c>
      <c r="U98" s="29" t="s">
        <v>724</v>
      </c>
      <c r="V98" s="24" t="str">
        <f>iferror(VLOOKUP(A98,'tagging table'!A:G,7,0),"")</f>
        <v>Sweets</v>
      </c>
    </row>
    <row r="99">
      <c r="A99" s="30">
        <v>7.290112494276E12</v>
      </c>
      <c r="B99" s="20" t="s">
        <v>738</v>
      </c>
      <c r="C99" s="21">
        <v>0.083</v>
      </c>
      <c r="D99" s="21">
        <v>0.12</v>
      </c>
      <c r="E99" s="21">
        <v>0.02</v>
      </c>
      <c r="F99" s="22">
        <v>15.0</v>
      </c>
      <c r="G99" s="23"/>
      <c r="H99" s="24" t="s">
        <v>723</v>
      </c>
      <c r="I99" s="21" t="s">
        <v>724</v>
      </c>
      <c r="J99" s="21" t="s">
        <v>725</v>
      </c>
      <c r="K99" s="24" t="s">
        <v>739</v>
      </c>
      <c r="L99" s="20" t="s">
        <v>740</v>
      </c>
      <c r="M99" s="25" t="s">
        <v>741</v>
      </c>
      <c r="N99" s="26" t="s">
        <v>28</v>
      </c>
      <c r="O99" s="24" t="s">
        <v>501</v>
      </c>
      <c r="P99" s="24" t="s">
        <v>729</v>
      </c>
      <c r="Q99" s="27"/>
      <c r="R99" s="27"/>
      <c r="S99" s="28" t="s">
        <v>742</v>
      </c>
      <c r="T99" s="33" t="s">
        <v>743</v>
      </c>
      <c r="U99" s="29" t="s">
        <v>724</v>
      </c>
      <c r="V99" s="24" t="str">
        <f>iferror(VLOOKUP(A99,'tagging table'!A:G,7,0),"")</f>
        <v>Sweets</v>
      </c>
    </row>
    <row r="100">
      <c r="A100" s="30">
        <v>7.290112494238E12</v>
      </c>
      <c r="B100" s="20" t="s">
        <v>744</v>
      </c>
      <c r="C100" s="21">
        <v>0.083</v>
      </c>
      <c r="D100" s="21">
        <v>0.12</v>
      </c>
      <c r="E100" s="21">
        <v>0.02</v>
      </c>
      <c r="F100" s="22">
        <v>15.0</v>
      </c>
      <c r="G100" s="23"/>
      <c r="H100" s="24" t="s">
        <v>723</v>
      </c>
      <c r="I100" s="21" t="s">
        <v>724</v>
      </c>
      <c r="J100" s="21" t="s">
        <v>725</v>
      </c>
      <c r="K100" s="24" t="s">
        <v>745</v>
      </c>
      <c r="L100" s="20" t="s">
        <v>746</v>
      </c>
      <c r="M100" s="25" t="s">
        <v>747</v>
      </c>
      <c r="N100" s="26" t="s">
        <v>28</v>
      </c>
      <c r="O100" s="24" t="s">
        <v>501</v>
      </c>
      <c r="P100" s="24" t="s">
        <v>729</v>
      </c>
      <c r="Q100" s="27"/>
      <c r="R100" s="27"/>
      <c r="S100" s="28" t="s">
        <v>748</v>
      </c>
      <c r="T100" s="8" t="s">
        <v>749</v>
      </c>
      <c r="U100" s="29" t="s">
        <v>724</v>
      </c>
      <c r="V100" s="24" t="str">
        <f>iferror(VLOOKUP(A100,'tagging table'!A:G,7,0),"")</f>
        <v>Sweets</v>
      </c>
    </row>
    <row r="101">
      <c r="A101" s="30">
        <v>7.2909799E7</v>
      </c>
      <c r="B101" s="20" t="s">
        <v>750</v>
      </c>
      <c r="C101" s="21">
        <v>0.16</v>
      </c>
      <c r="D101" s="21">
        <v>0.037</v>
      </c>
      <c r="E101" s="21">
        <v>0.02</v>
      </c>
      <c r="F101" s="22">
        <v>15.0</v>
      </c>
      <c r="G101" s="23"/>
      <c r="H101" s="24" t="s">
        <v>723</v>
      </c>
      <c r="I101" s="21" t="s">
        <v>724</v>
      </c>
      <c r="J101" s="24"/>
      <c r="K101" s="24" t="s">
        <v>751</v>
      </c>
      <c r="L101" s="20" t="s">
        <v>752</v>
      </c>
      <c r="M101" s="25" t="s">
        <v>753</v>
      </c>
      <c r="N101" s="26" t="s">
        <v>28</v>
      </c>
      <c r="O101" s="24" t="s">
        <v>501</v>
      </c>
      <c r="P101" s="24" t="s">
        <v>502</v>
      </c>
      <c r="Q101" s="27"/>
      <c r="R101" s="27"/>
      <c r="S101" s="31" t="s">
        <v>754</v>
      </c>
      <c r="T101" s="33" t="s">
        <v>755</v>
      </c>
      <c r="U101" s="29" t="s">
        <v>756</v>
      </c>
      <c r="V101" s="24" t="str">
        <f>iferror(VLOOKUP(A101,'tagging table'!A:G,7,0),"")</f>
        <v>Cashiers</v>
      </c>
    </row>
    <row r="102">
      <c r="A102" s="30">
        <v>7.290112494283E12</v>
      </c>
      <c r="B102" s="20" t="s">
        <v>757</v>
      </c>
      <c r="C102" s="21">
        <v>0.083</v>
      </c>
      <c r="D102" s="21">
        <v>0.12</v>
      </c>
      <c r="E102" s="21">
        <v>0.02</v>
      </c>
      <c r="F102" s="22">
        <v>15.0</v>
      </c>
      <c r="G102" s="23"/>
      <c r="H102" s="24" t="s">
        <v>723</v>
      </c>
      <c r="I102" s="21" t="s">
        <v>724</v>
      </c>
      <c r="J102" s="21" t="s">
        <v>725</v>
      </c>
      <c r="K102" s="24" t="s">
        <v>758</v>
      </c>
      <c r="L102" s="20" t="s">
        <v>759</v>
      </c>
      <c r="M102" s="25" t="s">
        <v>760</v>
      </c>
      <c r="N102" s="26" t="s">
        <v>28</v>
      </c>
      <c r="O102" s="24" t="s">
        <v>501</v>
      </c>
      <c r="P102" s="24" t="s">
        <v>729</v>
      </c>
      <c r="Q102" s="27"/>
      <c r="R102" s="27"/>
      <c r="S102" s="28" t="s">
        <v>761</v>
      </c>
      <c r="T102" s="8" t="s">
        <v>762</v>
      </c>
      <c r="U102" s="29" t="s">
        <v>724</v>
      </c>
      <c r="V102" s="24" t="str">
        <f>iferror(VLOOKUP(A102,'tagging table'!A:G,7,0),"")</f>
        <v>Sweets</v>
      </c>
    </row>
    <row r="103">
      <c r="A103" s="30">
        <v>7.290000161648E12</v>
      </c>
      <c r="B103" s="20" t="s">
        <v>763</v>
      </c>
      <c r="C103" s="21">
        <v>0.16</v>
      </c>
      <c r="D103" s="21">
        <v>0.037</v>
      </c>
      <c r="E103" s="21">
        <v>0.03</v>
      </c>
      <c r="F103" s="22">
        <v>10.0</v>
      </c>
      <c r="G103" s="23"/>
      <c r="H103" s="24" t="s">
        <v>723</v>
      </c>
      <c r="I103" s="21" t="s">
        <v>724</v>
      </c>
      <c r="J103" s="24"/>
      <c r="K103" s="24" t="s">
        <v>764</v>
      </c>
      <c r="L103" s="20" t="s">
        <v>765</v>
      </c>
      <c r="M103" s="25" t="s">
        <v>766</v>
      </c>
      <c r="N103" s="26" t="s">
        <v>37</v>
      </c>
      <c r="O103" s="24" t="s">
        <v>501</v>
      </c>
      <c r="P103" s="24" t="s">
        <v>502</v>
      </c>
      <c r="Q103" s="27"/>
      <c r="R103" s="27"/>
      <c r="S103" s="31" t="s">
        <v>767</v>
      </c>
      <c r="T103" s="8" t="s">
        <v>768</v>
      </c>
      <c r="U103" s="29" t="e">
        <v>#N/A</v>
      </c>
      <c r="V103" s="21" t="s">
        <v>284</v>
      </c>
    </row>
    <row r="104">
      <c r="A104" s="30">
        <v>7.290107649117E12</v>
      </c>
      <c r="B104" s="20" t="s">
        <v>769</v>
      </c>
      <c r="C104" s="21">
        <v>0.11</v>
      </c>
      <c r="D104" s="21">
        <v>0.03</v>
      </c>
      <c r="E104" s="21">
        <v>0.02</v>
      </c>
      <c r="F104" s="22">
        <v>15.0</v>
      </c>
      <c r="G104" s="23"/>
      <c r="H104" s="24" t="s">
        <v>723</v>
      </c>
      <c r="I104" s="21" t="s">
        <v>724</v>
      </c>
      <c r="J104" s="24"/>
      <c r="K104" s="24" t="s">
        <v>770</v>
      </c>
      <c r="L104" s="20" t="s">
        <v>771</v>
      </c>
      <c r="M104" s="25" t="s">
        <v>772</v>
      </c>
      <c r="N104" s="26" t="s">
        <v>28</v>
      </c>
      <c r="O104" s="24" t="s">
        <v>501</v>
      </c>
      <c r="P104" s="24" t="s">
        <v>502</v>
      </c>
      <c r="Q104" s="27"/>
      <c r="R104" s="27"/>
      <c r="S104" s="31" t="s">
        <v>773</v>
      </c>
      <c r="T104" s="33" t="s">
        <v>774</v>
      </c>
      <c r="U104" s="29" t="s">
        <v>724</v>
      </c>
      <c r="V104" s="24" t="str">
        <f>iferror(VLOOKUP(A104,'tagging table'!A:G,7,0),"")</f>
        <v>Cashiers</v>
      </c>
    </row>
    <row r="105">
      <c r="A105" s="30">
        <v>7.290000161631E12</v>
      </c>
      <c r="B105" s="20" t="s">
        <v>775</v>
      </c>
      <c r="C105" s="21">
        <v>0.16</v>
      </c>
      <c r="D105" s="21">
        <v>0.037</v>
      </c>
      <c r="E105" s="21">
        <v>0.03</v>
      </c>
      <c r="F105" s="22">
        <v>10.0</v>
      </c>
      <c r="G105" s="23"/>
      <c r="H105" s="24" t="s">
        <v>723</v>
      </c>
      <c r="I105" s="21" t="s">
        <v>724</v>
      </c>
      <c r="J105" s="24"/>
      <c r="K105" s="24" t="s">
        <v>776</v>
      </c>
      <c r="L105" s="20" t="s">
        <v>777</v>
      </c>
      <c r="M105" s="25" t="s">
        <v>778</v>
      </c>
      <c r="N105" s="26" t="s">
        <v>37</v>
      </c>
      <c r="O105" s="24" t="s">
        <v>501</v>
      </c>
      <c r="P105" s="24" t="s">
        <v>502</v>
      </c>
      <c r="Q105" s="27"/>
      <c r="R105" s="27"/>
      <c r="S105" s="31" t="s">
        <v>779</v>
      </c>
      <c r="T105" s="33" t="s">
        <v>780</v>
      </c>
      <c r="U105" s="29" t="e">
        <v>#N/A</v>
      </c>
      <c r="V105" s="21" t="s">
        <v>284</v>
      </c>
    </row>
    <row r="106">
      <c r="A106" s="30">
        <v>7.290112497918E12</v>
      </c>
      <c r="B106" s="20" t="s">
        <v>781</v>
      </c>
      <c r="C106" s="21">
        <v>0.16</v>
      </c>
      <c r="D106" s="21">
        <v>0.037</v>
      </c>
      <c r="E106" s="21">
        <v>0.02</v>
      </c>
      <c r="F106" s="22">
        <v>15.0</v>
      </c>
      <c r="G106" s="23"/>
      <c r="H106" s="24" t="s">
        <v>723</v>
      </c>
      <c r="I106" s="21" t="s">
        <v>724</v>
      </c>
      <c r="J106" s="24"/>
      <c r="K106" s="24" t="s">
        <v>782</v>
      </c>
      <c r="L106" s="20" t="s">
        <v>783</v>
      </c>
      <c r="M106" s="25" t="s">
        <v>784</v>
      </c>
      <c r="N106" s="26" t="s">
        <v>28</v>
      </c>
      <c r="O106" s="24" t="s">
        <v>501</v>
      </c>
      <c r="P106" s="24" t="s">
        <v>729</v>
      </c>
      <c r="Q106" s="27"/>
      <c r="R106" s="27"/>
      <c r="S106" s="28" t="s">
        <v>785</v>
      </c>
      <c r="T106" s="8" t="s">
        <v>786</v>
      </c>
      <c r="U106" s="29" t="s">
        <v>756</v>
      </c>
      <c r="V106" s="24" t="str">
        <f>iferror(VLOOKUP(A106,'tagging table'!A:G,7,0),"")</f>
        <v>Cashiers</v>
      </c>
    </row>
    <row r="107">
      <c r="A107" s="30">
        <v>7.290112497901E12</v>
      </c>
      <c r="B107" s="20" t="s">
        <v>787</v>
      </c>
      <c r="C107" s="21">
        <v>0.16</v>
      </c>
      <c r="D107" s="21">
        <v>0.037</v>
      </c>
      <c r="E107" s="21">
        <v>0.02</v>
      </c>
      <c r="F107" s="22">
        <v>15.0</v>
      </c>
      <c r="G107" s="23"/>
      <c r="H107" s="24" t="s">
        <v>723</v>
      </c>
      <c r="I107" s="21" t="s">
        <v>724</v>
      </c>
      <c r="J107" s="24"/>
      <c r="K107" s="24" t="s">
        <v>788</v>
      </c>
      <c r="L107" s="20" t="s">
        <v>789</v>
      </c>
      <c r="M107" s="25" t="s">
        <v>790</v>
      </c>
      <c r="N107" s="26" t="s">
        <v>28</v>
      </c>
      <c r="O107" s="24" t="s">
        <v>501</v>
      </c>
      <c r="P107" s="24" t="s">
        <v>729</v>
      </c>
      <c r="Q107" s="27"/>
      <c r="R107" s="27"/>
      <c r="S107" s="28" t="s">
        <v>791</v>
      </c>
      <c r="T107" s="8" t="s">
        <v>792</v>
      </c>
      <c r="U107" s="29" t="s">
        <v>756</v>
      </c>
      <c r="V107" s="24" t="str">
        <f>iferror(VLOOKUP(A107,'tagging table'!A:G,7,0),"")</f>
        <v>Cashiers</v>
      </c>
    </row>
    <row r="108">
      <c r="A108" s="30">
        <v>7.290013585394E12</v>
      </c>
      <c r="B108" s="20" t="s">
        <v>793</v>
      </c>
      <c r="C108" s="21">
        <v>0.095</v>
      </c>
      <c r="D108" s="21">
        <v>0.28</v>
      </c>
      <c r="E108" s="21">
        <v>0.095</v>
      </c>
      <c r="F108" s="22">
        <v>3.0</v>
      </c>
      <c r="G108" s="23"/>
      <c r="H108" s="24" t="s">
        <v>794</v>
      </c>
      <c r="I108" s="21" t="s">
        <v>795</v>
      </c>
      <c r="J108" s="20" t="s">
        <v>795</v>
      </c>
      <c r="K108" s="24" t="s">
        <v>796</v>
      </c>
      <c r="L108" s="20" t="s">
        <v>797</v>
      </c>
      <c r="M108" s="25" t="s">
        <v>798</v>
      </c>
      <c r="N108" s="26" t="s">
        <v>28</v>
      </c>
      <c r="O108" s="24" t="s">
        <v>799</v>
      </c>
      <c r="P108" s="24" t="s">
        <v>800</v>
      </c>
      <c r="Q108" s="27"/>
      <c r="R108" s="27"/>
      <c r="S108" s="28" t="s">
        <v>801</v>
      </c>
      <c r="T108" s="8" t="s">
        <v>802</v>
      </c>
      <c r="U108" s="29" t="s">
        <v>795</v>
      </c>
      <c r="V108" s="24" t="str">
        <f>iferror(VLOOKUP(A108,'tagging table'!A:G,7,0),"")</f>
        <v>Drinks</v>
      </c>
    </row>
    <row r="109">
      <c r="A109" s="30">
        <v>7.290001594025E12</v>
      </c>
      <c r="B109" s="20" t="s">
        <v>803</v>
      </c>
      <c r="C109" s="21">
        <v>0.058</v>
      </c>
      <c r="D109" s="21">
        <v>0.212</v>
      </c>
      <c r="E109" s="21">
        <v>0.058</v>
      </c>
      <c r="F109" s="22">
        <v>5.0</v>
      </c>
      <c r="G109" s="23"/>
      <c r="H109" s="24" t="s">
        <v>794</v>
      </c>
      <c r="I109" s="21" t="s">
        <v>795</v>
      </c>
      <c r="J109" s="20" t="s">
        <v>795</v>
      </c>
      <c r="K109" s="24" t="s">
        <v>804</v>
      </c>
      <c r="L109" s="20" t="s">
        <v>805</v>
      </c>
      <c r="M109" s="25" t="s">
        <v>806</v>
      </c>
      <c r="N109" s="26" t="s">
        <v>37</v>
      </c>
      <c r="O109" s="24" t="s">
        <v>799</v>
      </c>
      <c r="P109" s="24" t="s">
        <v>807</v>
      </c>
      <c r="Q109" s="27"/>
      <c r="R109" s="27"/>
      <c r="S109" s="31" t="s">
        <v>808</v>
      </c>
      <c r="T109" s="8" t="s">
        <v>809</v>
      </c>
      <c r="U109" s="29" t="e">
        <v>#N/A</v>
      </c>
      <c r="V109" s="21" t="s">
        <v>573</v>
      </c>
    </row>
    <row r="110">
      <c r="A110" s="30">
        <v>7.290000284316E12</v>
      </c>
      <c r="B110" s="20" t="s">
        <v>810</v>
      </c>
      <c r="C110" s="21">
        <v>0.095</v>
      </c>
      <c r="D110" s="21">
        <v>0.333</v>
      </c>
      <c r="E110" s="21">
        <v>0.095</v>
      </c>
      <c r="F110" s="22">
        <v>3.0</v>
      </c>
      <c r="G110" s="23"/>
      <c r="H110" s="24" t="s">
        <v>794</v>
      </c>
      <c r="I110" s="21" t="s">
        <v>795</v>
      </c>
      <c r="J110" s="20" t="s">
        <v>795</v>
      </c>
      <c r="K110" s="24" t="s">
        <v>811</v>
      </c>
      <c r="L110" s="20" t="s">
        <v>812</v>
      </c>
      <c r="M110" s="25" t="s">
        <v>813</v>
      </c>
      <c r="N110" s="26" t="s">
        <v>37</v>
      </c>
      <c r="O110" s="24" t="s">
        <v>814</v>
      </c>
      <c r="P110" s="24" t="s">
        <v>815</v>
      </c>
      <c r="Q110" s="27"/>
      <c r="R110" s="27"/>
      <c r="S110" s="28" t="s">
        <v>816</v>
      </c>
      <c r="T110" s="8" t="s">
        <v>817</v>
      </c>
      <c r="U110" s="29" t="e">
        <v>#N/A</v>
      </c>
      <c r="V110" s="21" t="s">
        <v>573</v>
      </c>
    </row>
    <row r="111">
      <c r="A111" s="30">
        <v>7.290011017866E12</v>
      </c>
      <c r="B111" s="20" t="s">
        <v>818</v>
      </c>
      <c r="C111" s="21">
        <v>0.057</v>
      </c>
      <c r="D111" s="21">
        <v>0.14</v>
      </c>
      <c r="E111" s="21">
        <v>0.057</v>
      </c>
      <c r="F111" s="22">
        <v>5.0</v>
      </c>
      <c r="G111" s="23"/>
      <c r="H111" s="24" t="s">
        <v>794</v>
      </c>
      <c r="I111" s="21" t="s">
        <v>795</v>
      </c>
      <c r="J111" s="20" t="s">
        <v>795</v>
      </c>
      <c r="K111" s="24" t="s">
        <v>819</v>
      </c>
      <c r="L111" s="20" t="s">
        <v>820</v>
      </c>
      <c r="M111" s="25" t="s">
        <v>821</v>
      </c>
      <c r="N111" s="26" t="s">
        <v>28</v>
      </c>
      <c r="O111" s="24" t="s">
        <v>799</v>
      </c>
      <c r="P111" s="24" t="s">
        <v>807</v>
      </c>
      <c r="Q111" s="27"/>
      <c r="R111" s="27"/>
      <c r="S111" s="31" t="s">
        <v>822</v>
      </c>
      <c r="T111" s="8" t="s">
        <v>823</v>
      </c>
      <c r="U111" s="29" t="s">
        <v>795</v>
      </c>
      <c r="V111" s="24" t="str">
        <f>iferror(VLOOKUP(A111,'tagging table'!A:G,7,0),"")</f>
        <v>Drinks</v>
      </c>
    </row>
    <row r="112">
      <c r="A112" s="30">
        <v>7.290001594155E12</v>
      </c>
      <c r="B112" s="20" t="s">
        <v>824</v>
      </c>
      <c r="C112" s="21">
        <v>0.065</v>
      </c>
      <c r="D112" s="21">
        <v>0.24</v>
      </c>
      <c r="E112" s="21">
        <v>0.065</v>
      </c>
      <c r="F112" s="22">
        <v>5.0</v>
      </c>
      <c r="G112" s="23"/>
      <c r="H112" s="24" t="s">
        <v>794</v>
      </c>
      <c r="I112" s="21" t="s">
        <v>795</v>
      </c>
      <c r="J112" s="20" t="s">
        <v>795</v>
      </c>
      <c r="K112" s="24" t="s">
        <v>825</v>
      </c>
      <c r="L112" s="20" t="s">
        <v>826</v>
      </c>
      <c r="M112" s="25" t="s">
        <v>827</v>
      </c>
      <c r="N112" s="26" t="s">
        <v>37</v>
      </c>
      <c r="O112" s="24" t="s">
        <v>799</v>
      </c>
      <c r="P112" s="24" t="s">
        <v>807</v>
      </c>
      <c r="Q112" s="27"/>
      <c r="R112" s="27"/>
      <c r="S112" s="31" t="s">
        <v>828</v>
      </c>
      <c r="T112" s="8" t="s">
        <v>829</v>
      </c>
      <c r="U112" s="29" t="e">
        <v>#N/A</v>
      </c>
      <c r="V112" s="21" t="s">
        <v>573</v>
      </c>
    </row>
    <row r="113">
      <c r="A113" s="30">
        <v>7.290013585387E12</v>
      </c>
      <c r="B113" s="20" t="s">
        <v>830</v>
      </c>
      <c r="C113" s="21">
        <v>0.095</v>
      </c>
      <c r="D113" s="21">
        <v>0.28</v>
      </c>
      <c r="E113" s="21">
        <v>0.095</v>
      </c>
      <c r="F113" s="22">
        <v>3.0</v>
      </c>
      <c r="G113" s="23"/>
      <c r="H113" s="24" t="s">
        <v>794</v>
      </c>
      <c r="I113" s="21" t="s">
        <v>795</v>
      </c>
      <c r="J113" s="20" t="s">
        <v>795</v>
      </c>
      <c r="K113" s="24" t="s">
        <v>831</v>
      </c>
      <c r="L113" s="20" t="s">
        <v>832</v>
      </c>
      <c r="M113" s="25" t="s">
        <v>833</v>
      </c>
      <c r="N113" s="26" t="s">
        <v>28</v>
      </c>
      <c r="O113" s="24" t="s">
        <v>814</v>
      </c>
      <c r="P113" s="24" t="s">
        <v>815</v>
      </c>
      <c r="Q113" s="27"/>
      <c r="R113" s="27"/>
      <c r="S113" s="28" t="s">
        <v>834</v>
      </c>
      <c r="T113" s="8" t="s">
        <v>835</v>
      </c>
      <c r="U113" s="29" t="s">
        <v>795</v>
      </c>
      <c r="V113" s="24" t="str">
        <f>iferror(VLOOKUP(A113,'tagging table'!A:G,7,0),"")</f>
        <v>Drinks</v>
      </c>
    </row>
    <row r="114">
      <c r="A114" s="30">
        <v>7.290011017873E12</v>
      </c>
      <c r="B114" s="20" t="s">
        <v>836</v>
      </c>
      <c r="C114" s="21">
        <v>0.057</v>
      </c>
      <c r="D114" s="21">
        <v>0.14</v>
      </c>
      <c r="E114" s="21">
        <v>0.057</v>
      </c>
      <c r="F114" s="22">
        <v>5.0</v>
      </c>
      <c r="G114" s="23"/>
      <c r="H114" s="24" t="s">
        <v>794</v>
      </c>
      <c r="I114" s="21" t="s">
        <v>795</v>
      </c>
      <c r="J114" s="20" t="s">
        <v>795</v>
      </c>
      <c r="K114" s="24" t="s">
        <v>837</v>
      </c>
      <c r="L114" s="20" t="s">
        <v>838</v>
      </c>
      <c r="M114" s="25" t="s">
        <v>839</v>
      </c>
      <c r="N114" s="26" t="s">
        <v>28</v>
      </c>
      <c r="O114" s="24" t="s">
        <v>814</v>
      </c>
      <c r="P114" s="24" t="s">
        <v>840</v>
      </c>
      <c r="Q114" s="27"/>
      <c r="R114" s="27"/>
      <c r="S114" s="31" t="s">
        <v>841</v>
      </c>
      <c r="T114" s="33" t="s">
        <v>842</v>
      </c>
      <c r="U114" s="29" t="s">
        <v>795</v>
      </c>
      <c r="V114" s="24" t="str">
        <f>iferror(VLOOKUP(A114,'tagging table'!A:G,7,0),"")</f>
        <v>Drinks</v>
      </c>
    </row>
    <row r="115">
      <c r="A115" s="30">
        <v>7.290008909884E12</v>
      </c>
      <c r="B115" s="20" t="s">
        <v>843</v>
      </c>
      <c r="C115" s="21">
        <v>0.058</v>
      </c>
      <c r="D115" s="21">
        <v>0.212</v>
      </c>
      <c r="E115" s="21">
        <v>0.058</v>
      </c>
      <c r="F115" s="22">
        <v>5.0</v>
      </c>
      <c r="G115" s="23"/>
      <c r="H115" s="24" t="s">
        <v>794</v>
      </c>
      <c r="I115" s="21" t="s">
        <v>795</v>
      </c>
      <c r="J115" s="20" t="s">
        <v>795</v>
      </c>
      <c r="K115" s="24" t="s">
        <v>844</v>
      </c>
      <c r="L115" s="20" t="s">
        <v>845</v>
      </c>
      <c r="M115" s="25" t="s">
        <v>846</v>
      </c>
      <c r="N115" s="26" t="s">
        <v>37</v>
      </c>
      <c r="O115" s="24" t="s">
        <v>814</v>
      </c>
      <c r="P115" s="24" t="s">
        <v>840</v>
      </c>
      <c r="Q115" s="27"/>
      <c r="R115" s="27"/>
      <c r="S115" s="31" t="s">
        <v>847</v>
      </c>
      <c r="T115" s="8" t="s">
        <v>848</v>
      </c>
      <c r="U115" s="29" t="e">
        <v>#N/A</v>
      </c>
      <c r="V115" s="21" t="s">
        <v>573</v>
      </c>
    </row>
    <row r="116">
      <c r="A116" s="30">
        <v>7.29000890986E12</v>
      </c>
      <c r="B116" s="20" t="s">
        <v>849</v>
      </c>
      <c r="C116" s="21">
        <v>0.095</v>
      </c>
      <c r="D116" s="21">
        <v>0.333</v>
      </c>
      <c r="E116" s="21">
        <v>0.095</v>
      </c>
      <c r="F116" s="22">
        <v>3.0</v>
      </c>
      <c r="G116" s="23"/>
      <c r="H116" s="24" t="s">
        <v>794</v>
      </c>
      <c r="I116" s="21" t="s">
        <v>795</v>
      </c>
      <c r="J116" s="20" t="s">
        <v>795</v>
      </c>
      <c r="K116" s="24" t="s">
        <v>850</v>
      </c>
      <c r="L116" s="20" t="s">
        <v>851</v>
      </c>
      <c r="M116" s="25" t="s">
        <v>852</v>
      </c>
      <c r="N116" s="26" t="s">
        <v>37</v>
      </c>
      <c r="O116" s="24" t="s">
        <v>814</v>
      </c>
      <c r="P116" s="24" t="s">
        <v>815</v>
      </c>
      <c r="Q116" s="27"/>
      <c r="R116" s="27"/>
      <c r="S116" s="31" t="s">
        <v>853</v>
      </c>
      <c r="T116" s="33" t="s">
        <v>854</v>
      </c>
      <c r="U116" s="29" t="e">
        <v>#N/A</v>
      </c>
      <c r="V116" s="21" t="s">
        <v>573</v>
      </c>
    </row>
    <row r="117">
      <c r="A117" s="30">
        <v>7.290008909853E12</v>
      </c>
      <c r="B117" s="20" t="s">
        <v>855</v>
      </c>
      <c r="C117" s="21">
        <v>0.065</v>
      </c>
      <c r="D117" s="21">
        <v>0.24</v>
      </c>
      <c r="E117" s="21">
        <v>0.065</v>
      </c>
      <c r="F117" s="22">
        <v>5.0</v>
      </c>
      <c r="G117" s="23"/>
      <c r="H117" s="24" t="s">
        <v>794</v>
      </c>
      <c r="I117" s="21" t="s">
        <v>795</v>
      </c>
      <c r="J117" s="20" t="s">
        <v>795</v>
      </c>
      <c r="K117" s="24" t="s">
        <v>856</v>
      </c>
      <c r="L117" s="20" t="s">
        <v>857</v>
      </c>
      <c r="M117" s="25" t="s">
        <v>858</v>
      </c>
      <c r="N117" s="26" t="s">
        <v>37</v>
      </c>
      <c r="O117" s="24" t="s">
        <v>814</v>
      </c>
      <c r="P117" s="24" t="s">
        <v>840</v>
      </c>
      <c r="Q117" s="27"/>
      <c r="R117" s="27"/>
      <c r="S117" s="28" t="s">
        <v>859</v>
      </c>
      <c r="T117" s="8" t="s">
        <v>860</v>
      </c>
      <c r="U117" s="29" t="e">
        <v>#N/A</v>
      </c>
      <c r="V117" s="21" t="s">
        <v>573</v>
      </c>
    </row>
    <row r="118">
      <c r="A118" s="30">
        <v>7.290001594186E12</v>
      </c>
      <c r="B118" s="20" t="s">
        <v>861</v>
      </c>
      <c r="C118" s="21">
        <v>0.065</v>
      </c>
      <c r="D118" s="21">
        <v>0.24</v>
      </c>
      <c r="E118" s="21">
        <v>0.065</v>
      </c>
      <c r="F118" s="22">
        <v>5.0</v>
      </c>
      <c r="G118" s="23"/>
      <c r="H118" s="24" t="s">
        <v>794</v>
      </c>
      <c r="I118" s="21" t="s">
        <v>795</v>
      </c>
      <c r="J118" s="20" t="s">
        <v>795</v>
      </c>
      <c r="K118" s="24" t="s">
        <v>862</v>
      </c>
      <c r="L118" s="20" t="s">
        <v>863</v>
      </c>
      <c r="M118" s="25" t="s">
        <v>864</v>
      </c>
      <c r="N118" s="26" t="s">
        <v>37</v>
      </c>
      <c r="O118" s="24" t="s">
        <v>814</v>
      </c>
      <c r="P118" s="24" t="s">
        <v>840</v>
      </c>
      <c r="Q118" s="27"/>
      <c r="R118" s="27"/>
      <c r="S118" s="28" t="s">
        <v>865</v>
      </c>
      <c r="T118" s="8" t="s">
        <v>866</v>
      </c>
      <c r="U118" s="29" t="e">
        <v>#N/A</v>
      </c>
      <c r="V118" s="21" t="s">
        <v>573</v>
      </c>
    </row>
    <row r="119">
      <c r="A119" s="30">
        <v>7.29001101788E12</v>
      </c>
      <c r="B119" s="20" t="s">
        <v>867</v>
      </c>
      <c r="C119" s="21">
        <v>0.057</v>
      </c>
      <c r="D119" s="21">
        <v>0.14</v>
      </c>
      <c r="E119" s="21">
        <v>0.057</v>
      </c>
      <c r="F119" s="22">
        <v>5.0</v>
      </c>
      <c r="G119" s="23"/>
      <c r="H119" s="24" t="s">
        <v>794</v>
      </c>
      <c r="I119" s="21" t="s">
        <v>795</v>
      </c>
      <c r="J119" s="20" t="s">
        <v>795</v>
      </c>
      <c r="K119" s="24" t="s">
        <v>868</v>
      </c>
      <c r="L119" s="20" t="s">
        <v>869</v>
      </c>
      <c r="M119" s="25" t="s">
        <v>870</v>
      </c>
      <c r="N119" s="26" t="s">
        <v>28</v>
      </c>
      <c r="O119" s="24" t="s">
        <v>814</v>
      </c>
      <c r="P119" s="24" t="s">
        <v>840</v>
      </c>
      <c r="Q119" s="27"/>
      <c r="R119" s="27"/>
      <c r="S119" s="31" t="s">
        <v>871</v>
      </c>
      <c r="T119" s="8" t="s">
        <v>872</v>
      </c>
      <c r="U119" s="29" t="s">
        <v>795</v>
      </c>
      <c r="V119" s="24" t="str">
        <f>iferror(VLOOKUP(A119,'tagging table'!A:G,7,0),"")</f>
        <v>Drinks</v>
      </c>
    </row>
    <row r="120">
      <c r="A120" s="30">
        <v>7.290000284361E12</v>
      </c>
      <c r="B120" s="20" t="s">
        <v>873</v>
      </c>
      <c r="C120" s="21">
        <v>0.095</v>
      </c>
      <c r="D120" s="21">
        <v>0.333</v>
      </c>
      <c r="E120" s="21">
        <v>0.095</v>
      </c>
      <c r="F120" s="22">
        <v>3.0</v>
      </c>
      <c r="G120" s="23"/>
      <c r="H120" s="24" t="s">
        <v>794</v>
      </c>
      <c r="I120" s="21" t="s">
        <v>795</v>
      </c>
      <c r="J120" s="20" t="s">
        <v>795</v>
      </c>
      <c r="K120" s="24" t="s">
        <v>874</v>
      </c>
      <c r="L120" s="20" t="s">
        <v>875</v>
      </c>
      <c r="M120" s="25" t="s">
        <v>876</v>
      </c>
      <c r="N120" s="26" t="s">
        <v>37</v>
      </c>
      <c r="O120" s="24" t="s">
        <v>814</v>
      </c>
      <c r="P120" s="24" t="s">
        <v>800</v>
      </c>
      <c r="Q120" s="27"/>
      <c r="R120" s="27"/>
      <c r="S120" s="28" t="s">
        <v>877</v>
      </c>
      <c r="T120" s="8" t="s">
        <v>878</v>
      </c>
      <c r="U120" s="29" t="e">
        <v>#N/A</v>
      </c>
      <c r="V120" s="21" t="s">
        <v>573</v>
      </c>
    </row>
    <row r="121">
      <c r="A121" s="30">
        <v>8.850161160851E12</v>
      </c>
      <c r="B121" s="20" t="s">
        <v>879</v>
      </c>
      <c r="C121" s="21">
        <v>0.06</v>
      </c>
      <c r="D121" s="21">
        <v>0.19</v>
      </c>
      <c r="E121" s="21">
        <v>0.06</v>
      </c>
      <c r="F121" s="22">
        <v>5.0</v>
      </c>
      <c r="G121" s="23"/>
      <c r="H121" s="24" t="s">
        <v>880</v>
      </c>
      <c r="I121" s="21" t="s">
        <v>881</v>
      </c>
      <c r="J121" s="20" t="s">
        <v>508</v>
      </c>
      <c r="K121" s="24" t="s">
        <v>882</v>
      </c>
      <c r="L121" s="20" t="s">
        <v>883</v>
      </c>
      <c r="M121" s="25" t="s">
        <v>884</v>
      </c>
      <c r="N121" s="26" t="s">
        <v>28</v>
      </c>
      <c r="O121" s="24" t="s">
        <v>340</v>
      </c>
      <c r="P121" s="24" t="s">
        <v>885</v>
      </c>
      <c r="Q121" s="27"/>
      <c r="R121" s="27"/>
      <c r="S121" s="28" t="s">
        <v>886</v>
      </c>
      <c r="T121" s="8" t="s">
        <v>887</v>
      </c>
      <c r="U121" s="29" t="s">
        <v>888</v>
      </c>
      <c r="V121" s="24" t="str">
        <f>iferror(VLOOKUP(A121,'tagging table'!A:G,7,0),"")</f>
        <v>Drinks</v>
      </c>
    </row>
    <row r="122">
      <c r="A122" s="30">
        <v>8.850161167041E12</v>
      </c>
      <c r="B122" s="20" t="s">
        <v>889</v>
      </c>
      <c r="C122" s="21">
        <v>0.055</v>
      </c>
      <c r="D122" s="21">
        <v>0.145</v>
      </c>
      <c r="E122" s="21">
        <v>0.055</v>
      </c>
      <c r="F122" s="22">
        <v>5.0</v>
      </c>
      <c r="G122" s="23"/>
      <c r="H122" s="24" t="s">
        <v>880</v>
      </c>
      <c r="I122" s="21" t="s">
        <v>881</v>
      </c>
      <c r="J122" s="20" t="s">
        <v>508</v>
      </c>
      <c r="K122" s="24" t="s">
        <v>890</v>
      </c>
      <c r="L122" s="20" t="s">
        <v>891</v>
      </c>
      <c r="M122" s="25" t="s">
        <v>892</v>
      </c>
      <c r="N122" s="26" t="s">
        <v>28</v>
      </c>
      <c r="O122" s="24" t="s">
        <v>340</v>
      </c>
      <c r="P122" s="24" t="s">
        <v>885</v>
      </c>
      <c r="Q122" s="27"/>
      <c r="R122" s="27"/>
      <c r="S122" s="28" t="s">
        <v>893</v>
      </c>
      <c r="T122" s="8" t="s">
        <v>894</v>
      </c>
      <c r="U122" s="29" t="s">
        <v>895</v>
      </c>
      <c r="V122" s="24" t="str">
        <f>iferror(VLOOKUP(A122,'tagging table'!A:G,7,0),"")</f>
        <v>Drinks</v>
      </c>
    </row>
    <row r="123">
      <c r="A123" s="30">
        <v>8.850161167065E12</v>
      </c>
      <c r="B123" s="20" t="s">
        <v>896</v>
      </c>
      <c r="C123" s="21">
        <v>0.055</v>
      </c>
      <c r="D123" s="21">
        <v>0.145</v>
      </c>
      <c r="E123" s="21">
        <v>0.055</v>
      </c>
      <c r="F123" s="22">
        <v>5.0</v>
      </c>
      <c r="G123" s="23"/>
      <c r="H123" s="24" t="s">
        <v>880</v>
      </c>
      <c r="I123" s="21" t="s">
        <v>881</v>
      </c>
      <c r="J123" s="20" t="s">
        <v>508</v>
      </c>
      <c r="K123" s="24" t="s">
        <v>897</v>
      </c>
      <c r="L123" s="20" t="s">
        <v>898</v>
      </c>
      <c r="M123" s="25" t="s">
        <v>899</v>
      </c>
      <c r="N123" s="26" t="s">
        <v>28</v>
      </c>
      <c r="O123" s="24" t="s">
        <v>62</v>
      </c>
      <c r="P123" s="24" t="s">
        <v>63</v>
      </c>
      <c r="Q123" s="27"/>
      <c r="R123" s="27"/>
      <c r="S123" s="28" t="s">
        <v>900</v>
      </c>
      <c r="T123" s="8" t="s">
        <v>901</v>
      </c>
      <c r="U123" s="29" t="s">
        <v>895</v>
      </c>
      <c r="V123" s="24" t="str">
        <f>iferror(VLOOKUP(A123,'tagging table'!A:G,7,0),"")</f>
        <v>Drinks</v>
      </c>
    </row>
    <row r="124">
      <c r="A124" s="30">
        <v>4132231.0</v>
      </c>
      <c r="B124" s="20" t="s">
        <v>902</v>
      </c>
      <c r="C124" s="21">
        <v>0.08</v>
      </c>
      <c r="D124" s="21">
        <v>0.232</v>
      </c>
      <c r="E124" s="21">
        <v>0.075</v>
      </c>
      <c r="F124" s="22">
        <v>4.0</v>
      </c>
      <c r="G124" s="23"/>
      <c r="H124" s="32" t="s">
        <v>57</v>
      </c>
      <c r="I124" s="21" t="s">
        <v>903</v>
      </c>
      <c r="J124" s="24"/>
      <c r="K124" s="24" t="s">
        <v>904</v>
      </c>
      <c r="L124" s="20" t="s">
        <v>905</v>
      </c>
      <c r="M124" s="25" t="s">
        <v>906</v>
      </c>
      <c r="N124" s="26" t="s">
        <v>28</v>
      </c>
      <c r="O124" s="24" t="s">
        <v>907</v>
      </c>
      <c r="P124" s="24" t="s">
        <v>908</v>
      </c>
      <c r="Q124" s="27"/>
      <c r="R124" s="27"/>
      <c r="S124" s="28" t="s">
        <v>909</v>
      </c>
      <c r="T124" s="8" t="s">
        <v>910</v>
      </c>
      <c r="U124" s="29" t="s">
        <v>903</v>
      </c>
      <c r="V124" s="24" t="str">
        <f>iferror(VLOOKUP(A124,'tagging table'!A:G,7,0),"")</f>
        <v>Dairy</v>
      </c>
    </row>
    <row r="125">
      <c r="A125" s="30">
        <v>7.290002542506E12</v>
      </c>
      <c r="B125" s="20" t="s">
        <v>911</v>
      </c>
      <c r="C125" s="21">
        <v>0.058</v>
      </c>
      <c r="D125" s="21">
        <v>0.25</v>
      </c>
      <c r="E125" s="21">
        <v>0.058</v>
      </c>
      <c r="F125" s="22">
        <v>5.0</v>
      </c>
      <c r="G125" s="23"/>
      <c r="H125" s="24" t="s">
        <v>912</v>
      </c>
      <c r="I125" s="21" t="s">
        <v>913</v>
      </c>
      <c r="J125" s="20" t="s">
        <v>914</v>
      </c>
      <c r="K125" s="24" t="s">
        <v>915</v>
      </c>
      <c r="L125" s="20" t="s">
        <v>916</v>
      </c>
      <c r="M125" s="25" t="s">
        <v>917</v>
      </c>
      <c r="N125" s="26" t="s">
        <v>37</v>
      </c>
      <c r="O125" s="24" t="s">
        <v>365</v>
      </c>
      <c r="P125" s="24" t="s">
        <v>536</v>
      </c>
      <c r="Q125" s="27"/>
      <c r="R125" s="27"/>
      <c r="S125" s="28" t="s">
        <v>918</v>
      </c>
      <c r="T125" s="8" t="s">
        <v>919</v>
      </c>
      <c r="U125" s="29" t="e">
        <v>#N/A</v>
      </c>
      <c r="V125" s="21" t="s">
        <v>573</v>
      </c>
    </row>
    <row r="126">
      <c r="A126" s="30">
        <v>7.50106419669E12</v>
      </c>
      <c r="B126" s="20" t="s">
        <v>920</v>
      </c>
      <c r="C126" s="21">
        <v>0.055</v>
      </c>
      <c r="D126" s="21">
        <v>0.16</v>
      </c>
      <c r="E126" s="21">
        <v>0.055</v>
      </c>
      <c r="F126" s="22">
        <v>5.0</v>
      </c>
      <c r="G126" s="23"/>
      <c r="H126" s="24" t="s">
        <v>912</v>
      </c>
      <c r="I126" s="21" t="s">
        <v>913</v>
      </c>
      <c r="J126" s="20" t="s">
        <v>914</v>
      </c>
      <c r="K126" s="24" t="s">
        <v>921</v>
      </c>
      <c r="L126" s="20" t="s">
        <v>922</v>
      </c>
      <c r="M126" s="25" t="s">
        <v>923</v>
      </c>
      <c r="N126" s="26" t="s">
        <v>28</v>
      </c>
      <c r="O126" s="24" t="s">
        <v>365</v>
      </c>
      <c r="P126" s="24" t="s">
        <v>924</v>
      </c>
      <c r="Q126" s="27"/>
      <c r="R126" s="27"/>
      <c r="S126" s="28" t="s">
        <v>925</v>
      </c>
      <c r="T126" s="8" t="s">
        <v>926</v>
      </c>
      <c r="U126" s="29" t="s">
        <v>913</v>
      </c>
      <c r="V126" s="24" t="str">
        <f>iferror(VLOOKUP(A126,'tagging table'!A:G,7,0),"")</f>
        <v>Drinks</v>
      </c>
    </row>
    <row r="127">
      <c r="A127" s="30">
        <v>7.290011194246E12</v>
      </c>
      <c r="B127" s="20" t="s">
        <v>927</v>
      </c>
      <c r="C127" s="21">
        <v>0.09</v>
      </c>
      <c r="D127" s="21">
        <v>0.07</v>
      </c>
      <c r="E127" s="21">
        <v>0.095</v>
      </c>
      <c r="F127" s="22">
        <v>3.0</v>
      </c>
      <c r="G127" s="23"/>
      <c r="H127" s="24" t="s">
        <v>928</v>
      </c>
      <c r="I127" s="21" t="s">
        <v>929</v>
      </c>
      <c r="J127" s="24"/>
      <c r="K127" s="24" t="s">
        <v>930</v>
      </c>
      <c r="L127" s="20" t="s">
        <v>931</v>
      </c>
      <c r="M127" s="25" t="s">
        <v>932</v>
      </c>
      <c r="N127" s="26" t="s">
        <v>28</v>
      </c>
      <c r="O127" s="24" t="s">
        <v>933</v>
      </c>
      <c r="P127" s="24" t="s">
        <v>934</v>
      </c>
      <c r="Q127" s="27"/>
      <c r="R127" s="27"/>
      <c r="S127" s="28" t="s">
        <v>935</v>
      </c>
      <c r="T127" s="8" t="s">
        <v>936</v>
      </c>
      <c r="U127" s="29" t="s">
        <v>937</v>
      </c>
      <c r="V127" s="24" t="str">
        <f>iferror(VLOOKUP(A127,'tagging table'!A:G,7,0),"")</f>
        <v>Dairy</v>
      </c>
    </row>
    <row r="128">
      <c r="A128" s="30">
        <v>4127329.0</v>
      </c>
      <c r="B128" s="20" t="s">
        <v>938</v>
      </c>
      <c r="C128" s="21">
        <v>0.09</v>
      </c>
      <c r="D128" s="21">
        <v>0.09</v>
      </c>
      <c r="E128" s="21">
        <v>0.08</v>
      </c>
      <c r="F128" s="22">
        <v>4.0</v>
      </c>
      <c r="G128" s="23"/>
      <c r="H128" s="24" t="s">
        <v>939</v>
      </c>
      <c r="I128" s="21" t="s">
        <v>940</v>
      </c>
      <c r="J128" s="24"/>
      <c r="K128" s="24" t="s">
        <v>941</v>
      </c>
      <c r="L128" s="20" t="s">
        <v>942</v>
      </c>
      <c r="M128" s="25" t="s">
        <v>943</v>
      </c>
      <c r="N128" s="26" t="s">
        <v>28</v>
      </c>
      <c r="O128" s="24" t="s">
        <v>933</v>
      </c>
      <c r="P128" s="24" t="s">
        <v>934</v>
      </c>
      <c r="Q128" s="27"/>
      <c r="R128" s="27"/>
      <c r="S128" s="28" t="s">
        <v>944</v>
      </c>
      <c r="T128" s="8" t="s">
        <v>945</v>
      </c>
      <c r="U128" s="29" t="s">
        <v>946</v>
      </c>
      <c r="V128" s="24" t="str">
        <f>iferror(VLOOKUP(A128,'tagging table'!A:G,7,0),"")</f>
        <v>Dairy</v>
      </c>
    </row>
    <row r="129">
      <c r="A129" s="30">
        <v>7.290000074252E12</v>
      </c>
      <c r="B129" s="20" t="s">
        <v>947</v>
      </c>
      <c r="C129" s="21">
        <v>0.2</v>
      </c>
      <c r="D129" s="21">
        <v>0.075</v>
      </c>
      <c r="E129" s="21">
        <v>0.055</v>
      </c>
      <c r="F129" s="22">
        <v>5.0</v>
      </c>
      <c r="G129" s="23"/>
      <c r="H129" s="24" t="s">
        <v>948</v>
      </c>
      <c r="I129" s="21" t="s">
        <v>949</v>
      </c>
      <c r="J129" s="20" t="s">
        <v>950</v>
      </c>
      <c r="K129" s="24" t="s">
        <v>951</v>
      </c>
      <c r="L129" s="20" t="s">
        <v>952</v>
      </c>
      <c r="M129" s="25" t="s">
        <v>953</v>
      </c>
      <c r="N129" s="26" t="s">
        <v>37</v>
      </c>
      <c r="O129" s="24" t="s">
        <v>954</v>
      </c>
      <c r="P129" s="24" t="s">
        <v>948</v>
      </c>
      <c r="Q129" s="27"/>
      <c r="R129" s="27"/>
      <c r="S129" s="31" t="s">
        <v>955</v>
      </c>
      <c r="T129" s="33" t="s">
        <v>956</v>
      </c>
      <c r="U129" s="29" t="e">
        <v>#N/A</v>
      </c>
      <c r="V129" s="21" t="s">
        <v>957</v>
      </c>
    </row>
    <row r="130">
      <c r="A130" s="30">
        <v>7.290000074375E12</v>
      </c>
      <c r="B130" s="20" t="s">
        <v>958</v>
      </c>
      <c r="C130" s="21">
        <v>0.2</v>
      </c>
      <c r="D130" s="21">
        <v>0.06699999</v>
      </c>
      <c r="E130" s="21">
        <v>0.045</v>
      </c>
      <c r="F130" s="22">
        <v>7.0</v>
      </c>
      <c r="G130" s="23"/>
      <c r="H130" s="24" t="s">
        <v>948</v>
      </c>
      <c r="I130" s="21" t="s">
        <v>949</v>
      </c>
      <c r="J130" s="20" t="s">
        <v>950</v>
      </c>
      <c r="K130" s="24" t="s">
        <v>959</v>
      </c>
      <c r="L130" s="20" t="s">
        <v>960</v>
      </c>
      <c r="M130" s="25" t="s">
        <v>961</v>
      </c>
      <c r="N130" s="26" t="s">
        <v>37</v>
      </c>
      <c r="O130" s="24" t="s">
        <v>954</v>
      </c>
      <c r="P130" s="24" t="s">
        <v>948</v>
      </c>
      <c r="Q130" s="27"/>
      <c r="R130" s="27"/>
      <c r="S130" s="28" t="s">
        <v>962</v>
      </c>
      <c r="T130" s="8" t="s">
        <v>963</v>
      </c>
      <c r="U130" s="29" t="e">
        <v>#N/A</v>
      </c>
      <c r="V130" s="21" t="s">
        <v>957</v>
      </c>
    </row>
    <row r="131">
      <c r="A131" s="30">
        <v>7.290000074245E12</v>
      </c>
      <c r="B131" s="20" t="s">
        <v>964</v>
      </c>
      <c r="C131" s="21">
        <v>0.2</v>
      </c>
      <c r="D131" s="21">
        <v>0.078</v>
      </c>
      <c r="E131" s="21">
        <v>0.075</v>
      </c>
      <c r="F131" s="22">
        <v>4.0</v>
      </c>
      <c r="G131" s="23"/>
      <c r="H131" s="24" t="s">
        <v>948</v>
      </c>
      <c r="I131" s="21" t="s">
        <v>949</v>
      </c>
      <c r="J131" s="20" t="s">
        <v>950</v>
      </c>
      <c r="K131" s="24" t="s">
        <v>965</v>
      </c>
      <c r="L131" s="20" t="s">
        <v>966</v>
      </c>
      <c r="M131" s="25" t="s">
        <v>967</v>
      </c>
      <c r="N131" s="26" t="s">
        <v>37</v>
      </c>
      <c r="O131" s="24" t="s">
        <v>954</v>
      </c>
      <c r="P131" s="24" t="s">
        <v>948</v>
      </c>
      <c r="Q131" s="27"/>
      <c r="R131" s="27"/>
      <c r="S131" s="28" t="s">
        <v>968</v>
      </c>
      <c r="T131" s="8" t="s">
        <v>969</v>
      </c>
      <c r="U131" s="29" t="e">
        <v>#N/A</v>
      </c>
      <c r="V131" s="21" t="s">
        <v>957</v>
      </c>
    </row>
    <row r="132">
      <c r="A132" s="30">
        <v>4125455.0</v>
      </c>
      <c r="B132" s="20" t="s">
        <v>970</v>
      </c>
      <c r="C132" s="21">
        <v>0.07</v>
      </c>
      <c r="D132" s="21">
        <v>0.08</v>
      </c>
      <c r="E132" s="21">
        <v>0.075</v>
      </c>
      <c r="F132" s="22">
        <v>4.0</v>
      </c>
      <c r="G132" s="23"/>
      <c r="H132" s="32" t="s">
        <v>57</v>
      </c>
      <c r="I132" s="21" t="s">
        <v>971</v>
      </c>
      <c r="J132" s="24"/>
      <c r="K132" s="24" t="s">
        <v>972</v>
      </c>
      <c r="L132" s="20" t="s">
        <v>973</v>
      </c>
      <c r="M132" s="25" t="s">
        <v>974</v>
      </c>
      <c r="N132" s="26" t="s">
        <v>28</v>
      </c>
      <c r="O132" s="24" t="s">
        <v>975</v>
      </c>
      <c r="P132" s="24" t="s">
        <v>976</v>
      </c>
      <c r="Q132" s="27"/>
      <c r="R132" s="27"/>
      <c r="S132" s="28" t="s">
        <v>977</v>
      </c>
      <c r="T132" s="8" t="s">
        <v>978</v>
      </c>
      <c r="U132" s="29" t="s">
        <v>971</v>
      </c>
      <c r="V132" s="24" t="str">
        <f>iferror(VLOOKUP(A132,'tagging table'!A:G,7,0),"")</f>
        <v>Dairy</v>
      </c>
    </row>
    <row r="133">
      <c r="A133" s="30">
        <v>4125400.0</v>
      </c>
      <c r="B133" s="20" t="s">
        <v>979</v>
      </c>
      <c r="C133" s="21">
        <v>0.083</v>
      </c>
      <c r="D133" s="21">
        <v>0.065</v>
      </c>
      <c r="E133" s="21">
        <v>0.06</v>
      </c>
      <c r="F133" s="22">
        <v>4.0</v>
      </c>
      <c r="G133" s="23"/>
      <c r="H133" s="32" t="s">
        <v>57</v>
      </c>
      <c r="I133" s="21" t="s">
        <v>971</v>
      </c>
      <c r="J133" s="24"/>
      <c r="K133" s="24" t="s">
        <v>980</v>
      </c>
      <c r="L133" s="20" t="s">
        <v>981</v>
      </c>
      <c r="M133" s="25" t="s">
        <v>982</v>
      </c>
      <c r="N133" s="26" t="s">
        <v>37</v>
      </c>
      <c r="O133" s="24"/>
      <c r="P133" s="24"/>
      <c r="Q133" s="27"/>
      <c r="R133" s="27"/>
      <c r="S133" s="31"/>
      <c r="T133" s="33"/>
      <c r="U133" s="29"/>
      <c r="V133" s="21" t="s">
        <v>983</v>
      </c>
    </row>
    <row r="134">
      <c r="A134" s="30">
        <v>1.6000548497E10</v>
      </c>
      <c r="B134" s="20" t="s">
        <v>984</v>
      </c>
      <c r="C134" s="21">
        <v>0.13</v>
      </c>
      <c r="D134" s="21">
        <v>0.045</v>
      </c>
      <c r="E134" s="21">
        <v>0.02</v>
      </c>
      <c r="F134" s="22">
        <v>15.0</v>
      </c>
      <c r="G134" s="23"/>
      <c r="H134" s="24" t="s">
        <v>985</v>
      </c>
      <c r="I134" s="21" t="s">
        <v>986</v>
      </c>
      <c r="J134" s="24"/>
      <c r="K134" s="24" t="s">
        <v>987</v>
      </c>
      <c r="L134" s="20" t="s">
        <v>988</v>
      </c>
      <c r="M134" s="25" t="s">
        <v>989</v>
      </c>
      <c r="N134" s="26" t="s">
        <v>28</v>
      </c>
      <c r="O134" s="24" t="s">
        <v>320</v>
      </c>
      <c r="P134" s="24" t="s">
        <v>321</v>
      </c>
      <c r="Q134" s="27"/>
      <c r="R134" s="27"/>
      <c r="S134" s="28" t="s">
        <v>990</v>
      </c>
      <c r="T134" s="8" t="s">
        <v>991</v>
      </c>
      <c r="U134" s="29" t="s">
        <v>992</v>
      </c>
      <c r="V134" s="24" t="str">
        <f>iferror(VLOOKUP(A134,'tagging table'!A:G,7,0),"")</f>
        <v>Cashiers</v>
      </c>
    </row>
    <row r="135">
      <c r="A135" s="30">
        <v>1.6000548596E10</v>
      </c>
      <c r="B135" s="20" t="s">
        <v>993</v>
      </c>
      <c r="C135" s="21">
        <v>0.13</v>
      </c>
      <c r="D135" s="21">
        <v>0.045</v>
      </c>
      <c r="E135" s="21">
        <v>0.02</v>
      </c>
      <c r="F135" s="22">
        <v>15.0</v>
      </c>
      <c r="G135" s="23"/>
      <c r="H135" s="24" t="s">
        <v>985</v>
      </c>
      <c r="I135" s="21" t="s">
        <v>986</v>
      </c>
      <c r="J135" s="24"/>
      <c r="K135" s="24" t="s">
        <v>994</v>
      </c>
      <c r="L135" s="20" t="s">
        <v>995</v>
      </c>
      <c r="M135" s="25" t="s">
        <v>996</v>
      </c>
      <c r="N135" s="26" t="s">
        <v>28</v>
      </c>
      <c r="O135" s="24" t="s">
        <v>320</v>
      </c>
      <c r="P135" s="24" t="s">
        <v>321</v>
      </c>
      <c r="Q135" s="27"/>
      <c r="R135" s="27"/>
      <c r="S135" s="28" t="s">
        <v>997</v>
      </c>
      <c r="T135" s="8" t="s">
        <v>998</v>
      </c>
      <c r="U135" s="29" t="s">
        <v>992</v>
      </c>
      <c r="V135" s="24" t="str">
        <f>iferror(VLOOKUP(A135,'tagging table'!A:G,7,0),"")</f>
        <v>Cashiers</v>
      </c>
    </row>
    <row r="136">
      <c r="A136" s="30">
        <v>1.6000507777E10</v>
      </c>
      <c r="B136" s="20" t="s">
        <v>999</v>
      </c>
      <c r="C136" s="21">
        <v>0.13</v>
      </c>
      <c r="D136" s="21">
        <v>0.045</v>
      </c>
      <c r="E136" s="21">
        <v>0.02</v>
      </c>
      <c r="F136" s="22">
        <v>15.0</v>
      </c>
      <c r="G136" s="23"/>
      <c r="H136" s="24" t="s">
        <v>985</v>
      </c>
      <c r="I136" s="21" t="s">
        <v>986</v>
      </c>
      <c r="J136" s="24"/>
      <c r="K136" s="24" t="s">
        <v>1000</v>
      </c>
      <c r="L136" s="20" t="s">
        <v>1001</v>
      </c>
      <c r="M136" s="25" t="s">
        <v>1002</v>
      </c>
      <c r="N136" s="26" t="s">
        <v>28</v>
      </c>
      <c r="O136" s="24" t="s">
        <v>320</v>
      </c>
      <c r="P136" s="24" t="s">
        <v>321</v>
      </c>
      <c r="Q136" s="27"/>
      <c r="R136" s="27"/>
      <c r="S136" s="28" t="s">
        <v>1003</v>
      </c>
      <c r="T136" s="8" t="s">
        <v>1004</v>
      </c>
      <c r="U136" s="29" t="s">
        <v>992</v>
      </c>
      <c r="V136" s="24" t="str">
        <f>iferror(VLOOKUP(A136,'tagging table'!A:G,7,0),"")</f>
        <v>Cashiers</v>
      </c>
    </row>
    <row r="137">
      <c r="A137" s="30">
        <v>5838002.0</v>
      </c>
      <c r="B137" s="20" t="s">
        <v>1005</v>
      </c>
      <c r="C137" s="21">
        <v>0.075</v>
      </c>
      <c r="D137" s="21">
        <v>0.061</v>
      </c>
      <c r="E137" s="21">
        <v>0.125</v>
      </c>
      <c r="F137" s="22">
        <v>2.0</v>
      </c>
      <c r="G137" s="23"/>
      <c r="H137" s="24" t="s">
        <v>1006</v>
      </c>
      <c r="I137" s="21" t="s">
        <v>1007</v>
      </c>
      <c r="J137" s="24"/>
      <c r="K137" s="24" t="s">
        <v>1008</v>
      </c>
      <c r="L137" s="20" t="s">
        <v>1009</v>
      </c>
      <c r="M137" s="25" t="s">
        <v>1010</v>
      </c>
      <c r="N137" s="26" t="s">
        <v>28</v>
      </c>
      <c r="O137" s="24" t="s">
        <v>1011</v>
      </c>
      <c r="P137" s="24" t="s">
        <v>1012</v>
      </c>
      <c r="Q137" s="27"/>
      <c r="R137" s="27"/>
      <c r="S137" s="31" t="s">
        <v>1013</v>
      </c>
      <c r="T137" s="33" t="s">
        <v>1014</v>
      </c>
      <c r="U137" s="29" t="s">
        <v>1007</v>
      </c>
      <c r="V137" s="24" t="str">
        <f>VLOOKUP(A137,'tagging table'!A:G,7,0)</f>
        <v>Dairy</v>
      </c>
    </row>
    <row r="138">
      <c r="A138" s="30">
        <v>7.290110566975E12</v>
      </c>
      <c r="B138" s="20" t="s">
        <v>1015</v>
      </c>
      <c r="C138" s="21">
        <v>0.073</v>
      </c>
      <c r="D138" s="21">
        <v>0.07</v>
      </c>
      <c r="E138" s="21">
        <v>0.095</v>
      </c>
      <c r="F138" s="22">
        <v>3.0</v>
      </c>
      <c r="G138" s="23"/>
      <c r="H138" s="24" t="s">
        <v>1016</v>
      </c>
      <c r="I138" s="21" t="s">
        <v>1017</v>
      </c>
      <c r="J138" s="24"/>
      <c r="K138" s="24" t="s">
        <v>1018</v>
      </c>
      <c r="L138" s="20" t="s">
        <v>1019</v>
      </c>
      <c r="M138" s="25" t="s">
        <v>1020</v>
      </c>
      <c r="N138" s="26" t="s">
        <v>28</v>
      </c>
      <c r="O138" s="24" t="s">
        <v>1021</v>
      </c>
      <c r="P138" s="24" t="s">
        <v>1022</v>
      </c>
      <c r="Q138" s="27"/>
      <c r="R138" s="27"/>
      <c r="S138" s="28" t="s">
        <v>1023</v>
      </c>
      <c r="T138" s="8" t="s">
        <v>1024</v>
      </c>
      <c r="U138" s="29" t="s">
        <v>1025</v>
      </c>
      <c r="V138" s="24" t="str">
        <f>VLOOKUP(A138,'tagging table'!A:G,7,0)</f>
        <v>Dairy</v>
      </c>
    </row>
    <row r="139">
      <c r="A139" s="30">
        <v>408354.0</v>
      </c>
      <c r="B139" s="20" t="s">
        <v>1026</v>
      </c>
      <c r="C139" s="21">
        <v>0.13</v>
      </c>
      <c r="D139" s="21">
        <v>0.075</v>
      </c>
      <c r="E139" s="21">
        <v>0.045</v>
      </c>
      <c r="F139" s="22">
        <v>7.0</v>
      </c>
      <c r="G139" s="23"/>
      <c r="H139" s="24" t="s">
        <v>1016</v>
      </c>
      <c r="I139" s="21" t="s">
        <v>1017</v>
      </c>
      <c r="J139" s="24"/>
      <c r="K139" s="24" t="s">
        <v>1027</v>
      </c>
      <c r="L139" s="20" t="s">
        <v>1028</v>
      </c>
      <c r="M139" s="25" t="s">
        <v>1029</v>
      </c>
      <c r="N139" s="26" t="s">
        <v>28</v>
      </c>
      <c r="O139" s="24" t="s">
        <v>1021</v>
      </c>
      <c r="P139" s="24" t="s">
        <v>1022</v>
      </c>
      <c r="Q139" s="27"/>
      <c r="R139" s="27"/>
      <c r="S139" s="28" t="s">
        <v>1030</v>
      </c>
      <c r="T139" s="8" t="s">
        <v>1031</v>
      </c>
      <c r="U139" s="29" t="s">
        <v>1017</v>
      </c>
      <c r="V139" s="24" t="str">
        <f>VLOOKUP(A139,'tagging table'!A:G,7,0)</f>
        <v>Dairy</v>
      </c>
    </row>
    <row r="140">
      <c r="A140" s="30">
        <v>408316.0</v>
      </c>
      <c r="B140" s="20" t="s">
        <v>1032</v>
      </c>
      <c r="C140" s="21">
        <v>0.073</v>
      </c>
      <c r="D140" s="21">
        <v>0.09</v>
      </c>
      <c r="E140" s="21">
        <v>0.065</v>
      </c>
      <c r="F140" s="22">
        <v>5.0</v>
      </c>
      <c r="G140" s="23"/>
      <c r="H140" s="24" t="s">
        <v>1016</v>
      </c>
      <c r="I140" s="21" t="s">
        <v>1017</v>
      </c>
      <c r="J140" s="24"/>
      <c r="K140" s="24" t="s">
        <v>1033</v>
      </c>
      <c r="L140" s="20" t="s">
        <v>1034</v>
      </c>
      <c r="M140" s="25" t="s">
        <v>1035</v>
      </c>
      <c r="N140" s="26" t="s">
        <v>28</v>
      </c>
      <c r="O140" s="24" t="s">
        <v>1021</v>
      </c>
      <c r="P140" s="24" t="s">
        <v>1036</v>
      </c>
      <c r="Q140" s="27"/>
      <c r="R140" s="27"/>
      <c r="S140" s="28" t="s">
        <v>1037</v>
      </c>
      <c r="T140" s="8" t="s">
        <v>1038</v>
      </c>
      <c r="U140" s="29" t="s">
        <v>1039</v>
      </c>
      <c r="V140" s="24" t="str">
        <f>VLOOKUP(A140,'tagging table'!A:G,7,0)</f>
        <v>Dairy</v>
      </c>
    </row>
    <row r="141">
      <c r="A141" s="30">
        <v>7.290105965738E12</v>
      </c>
      <c r="B141" s="20" t="s">
        <v>1040</v>
      </c>
      <c r="C141" s="21">
        <v>0.06</v>
      </c>
      <c r="D141" s="21">
        <v>0.155</v>
      </c>
      <c r="E141" s="21">
        <v>0.06</v>
      </c>
      <c r="F141" s="22">
        <v>5.0</v>
      </c>
      <c r="G141" s="23"/>
      <c r="H141" s="24" t="s">
        <v>1016</v>
      </c>
      <c r="I141" s="21" t="s">
        <v>1017</v>
      </c>
      <c r="J141" s="24"/>
      <c r="K141" s="24" t="s">
        <v>1041</v>
      </c>
      <c r="L141" s="20" t="s">
        <v>1042</v>
      </c>
      <c r="M141" s="25" t="s">
        <v>1043</v>
      </c>
      <c r="N141" s="26" t="s">
        <v>28</v>
      </c>
      <c r="O141" s="24" t="s">
        <v>1021</v>
      </c>
      <c r="P141" s="24" t="s">
        <v>1044</v>
      </c>
      <c r="Q141" s="27"/>
      <c r="R141" s="27"/>
      <c r="S141" s="28" t="s">
        <v>1045</v>
      </c>
      <c r="T141" s="8" t="s">
        <v>1046</v>
      </c>
      <c r="U141" s="29" t="s">
        <v>1047</v>
      </c>
      <c r="V141" s="24" t="str">
        <f>VLOOKUP(A141,'tagging table'!A:G,7,0)</f>
        <v>Dairy</v>
      </c>
    </row>
    <row r="142">
      <c r="A142" s="30">
        <v>3321155.0</v>
      </c>
      <c r="B142" s="20" t="s">
        <v>1048</v>
      </c>
      <c r="C142" s="21">
        <v>0.13</v>
      </c>
      <c r="D142" s="21">
        <v>0.075</v>
      </c>
      <c r="E142" s="21">
        <v>0.045</v>
      </c>
      <c r="F142" s="22">
        <v>7.0</v>
      </c>
      <c r="G142" s="23"/>
      <c r="H142" s="24" t="s">
        <v>1016</v>
      </c>
      <c r="I142" s="21" t="s">
        <v>1017</v>
      </c>
      <c r="J142" s="24"/>
      <c r="K142" s="24" t="s">
        <v>1049</v>
      </c>
      <c r="L142" s="20" t="s">
        <v>1050</v>
      </c>
      <c r="M142" s="25" t="s">
        <v>1051</v>
      </c>
      <c r="N142" s="26" t="s">
        <v>28</v>
      </c>
      <c r="O142" s="24" t="s">
        <v>1021</v>
      </c>
      <c r="P142" s="24" t="s">
        <v>1022</v>
      </c>
      <c r="Q142" s="27"/>
      <c r="R142" s="27"/>
      <c r="S142" s="28" t="s">
        <v>1052</v>
      </c>
      <c r="T142" s="8" t="s">
        <v>1053</v>
      </c>
      <c r="U142" s="29" t="s">
        <v>1017</v>
      </c>
      <c r="V142" s="24" t="str">
        <f>VLOOKUP(A142,'tagging table'!A:G,7,0)</f>
        <v>Dairy</v>
      </c>
    </row>
    <row r="143">
      <c r="A143" s="30">
        <v>7.290112330352E12</v>
      </c>
      <c r="B143" s="20" t="s">
        <v>1054</v>
      </c>
      <c r="C143" s="21">
        <v>0.073</v>
      </c>
      <c r="D143" s="21">
        <v>0.072</v>
      </c>
      <c r="E143" s="21">
        <v>0.075</v>
      </c>
      <c r="F143" s="22">
        <v>4.0</v>
      </c>
      <c r="G143" s="23"/>
      <c r="H143" s="24" t="s">
        <v>1016</v>
      </c>
      <c r="I143" s="21" t="s">
        <v>1017</v>
      </c>
      <c r="J143" s="24"/>
      <c r="K143" s="24" t="s">
        <v>1055</v>
      </c>
      <c r="L143" s="20" t="s">
        <v>1056</v>
      </c>
      <c r="M143" s="25" t="s">
        <v>1057</v>
      </c>
      <c r="N143" s="26" t="s">
        <v>28</v>
      </c>
      <c r="O143" s="24" t="s">
        <v>1021</v>
      </c>
      <c r="P143" s="24" t="s">
        <v>1058</v>
      </c>
      <c r="Q143" s="27"/>
      <c r="R143" s="27"/>
      <c r="S143" s="28" t="s">
        <v>1059</v>
      </c>
      <c r="T143" s="33" t="s">
        <v>1060</v>
      </c>
      <c r="U143" s="29" t="s">
        <v>1025</v>
      </c>
      <c r="V143" s="24" t="str">
        <f>VLOOKUP(A143,'tagging table'!A:G,7,0)</f>
        <v>Dairy</v>
      </c>
    </row>
    <row r="144">
      <c r="A144" s="30">
        <v>7.290112346698E12</v>
      </c>
      <c r="B144" s="20" t="s">
        <v>1061</v>
      </c>
      <c r="C144" s="21">
        <v>0.073</v>
      </c>
      <c r="D144" s="21">
        <v>0.155</v>
      </c>
      <c r="E144" s="21">
        <v>0.075</v>
      </c>
      <c r="F144" s="22">
        <v>4.0</v>
      </c>
      <c r="G144" s="23"/>
      <c r="H144" s="24" t="s">
        <v>1016</v>
      </c>
      <c r="I144" s="21" t="s">
        <v>1017</v>
      </c>
      <c r="J144" s="24"/>
      <c r="K144" s="24" t="s">
        <v>1062</v>
      </c>
      <c r="L144" s="20" t="s">
        <v>1063</v>
      </c>
      <c r="M144" s="25" t="s">
        <v>1064</v>
      </c>
      <c r="N144" s="26" t="s">
        <v>28</v>
      </c>
      <c r="O144" s="24" t="s">
        <v>1021</v>
      </c>
      <c r="P144" s="24" t="s">
        <v>1044</v>
      </c>
      <c r="Q144" s="27"/>
      <c r="R144" s="27"/>
      <c r="S144" s="28" t="s">
        <v>1065</v>
      </c>
      <c r="T144" s="8" t="s">
        <v>1066</v>
      </c>
      <c r="U144" s="29" t="s">
        <v>1067</v>
      </c>
      <c r="V144" s="24" t="str">
        <f>VLOOKUP(A144,'tagging table'!A:G,7,0)</f>
        <v>Dairy</v>
      </c>
    </row>
    <row r="145">
      <c r="A145" s="30">
        <v>7.290110565527E12</v>
      </c>
      <c r="B145" s="20" t="s">
        <v>1068</v>
      </c>
      <c r="C145" s="21">
        <v>0.073</v>
      </c>
      <c r="D145" s="21">
        <v>0.07</v>
      </c>
      <c r="E145" s="21">
        <v>0.075</v>
      </c>
      <c r="F145" s="22">
        <v>4.0</v>
      </c>
      <c r="G145" s="23"/>
      <c r="H145" s="24" t="s">
        <v>1016</v>
      </c>
      <c r="I145" s="21" t="s">
        <v>1017</v>
      </c>
      <c r="J145" s="24"/>
      <c r="K145" s="24" t="s">
        <v>1069</v>
      </c>
      <c r="L145" s="20" t="s">
        <v>1070</v>
      </c>
      <c r="M145" s="25" t="s">
        <v>1071</v>
      </c>
      <c r="N145" s="26" t="s">
        <v>28</v>
      </c>
      <c r="O145" s="24" t="s">
        <v>1021</v>
      </c>
      <c r="P145" s="24" t="s">
        <v>1036</v>
      </c>
      <c r="Q145" s="27"/>
      <c r="R145" s="27"/>
      <c r="S145" s="28" t="s">
        <v>1072</v>
      </c>
      <c r="T145" s="8" t="s">
        <v>1073</v>
      </c>
      <c r="U145" s="29" t="s">
        <v>1025</v>
      </c>
      <c r="V145" s="24" t="str">
        <f>VLOOKUP(A145,'tagging table'!A:G,7,0)</f>
        <v>Dairy</v>
      </c>
    </row>
    <row r="146">
      <c r="A146" s="30">
        <v>7.290110568276E12</v>
      </c>
      <c r="B146" s="20" t="s">
        <v>1074</v>
      </c>
      <c r="C146" s="21">
        <v>0.062</v>
      </c>
      <c r="D146" s="21">
        <v>0.173</v>
      </c>
      <c r="E146" s="21">
        <v>0.062</v>
      </c>
      <c r="F146" s="22">
        <v>5.0</v>
      </c>
      <c r="G146" s="23"/>
      <c r="H146" s="24" t="s">
        <v>1016</v>
      </c>
      <c r="I146" s="21" t="s">
        <v>1017</v>
      </c>
      <c r="J146" s="24"/>
      <c r="K146" s="24" t="s">
        <v>1075</v>
      </c>
      <c r="L146" s="20" t="s">
        <v>1076</v>
      </c>
      <c r="M146" s="25" t="s">
        <v>1077</v>
      </c>
      <c r="N146" s="26" t="s">
        <v>28</v>
      </c>
      <c r="O146" s="24" t="s">
        <v>700</v>
      </c>
      <c r="P146" s="24" t="s">
        <v>1078</v>
      </c>
      <c r="Q146" s="27"/>
      <c r="R146" s="27"/>
      <c r="S146" s="31" t="s">
        <v>1079</v>
      </c>
      <c r="T146" s="8" t="s">
        <v>1080</v>
      </c>
      <c r="U146" s="29" t="s">
        <v>1081</v>
      </c>
      <c r="V146" s="24" t="str">
        <f>VLOOKUP(A146,'tagging table'!A:G,7,0)</f>
        <v>Dairy</v>
      </c>
    </row>
    <row r="147">
      <c r="A147" s="30">
        <v>4584528.0</v>
      </c>
      <c r="B147" s="20" t="s">
        <v>1082</v>
      </c>
      <c r="C147" s="21">
        <v>0.073</v>
      </c>
      <c r="D147" s="21">
        <v>0.09</v>
      </c>
      <c r="E147" s="21">
        <v>0.075</v>
      </c>
      <c r="F147" s="22">
        <v>4.0</v>
      </c>
      <c r="G147" s="23"/>
      <c r="H147" s="24" t="s">
        <v>1016</v>
      </c>
      <c r="I147" s="21" t="s">
        <v>1017</v>
      </c>
      <c r="J147" s="24"/>
      <c r="K147" s="24" t="s">
        <v>1083</v>
      </c>
      <c r="L147" s="20" t="s">
        <v>1084</v>
      </c>
      <c r="M147" s="25" t="s">
        <v>1085</v>
      </c>
      <c r="N147" s="26" t="s">
        <v>28</v>
      </c>
      <c r="O147" s="24" t="s">
        <v>1021</v>
      </c>
      <c r="P147" s="24" t="s">
        <v>1036</v>
      </c>
      <c r="Q147" s="27"/>
      <c r="R147" s="27"/>
      <c r="S147" s="28" t="s">
        <v>1086</v>
      </c>
      <c r="T147" s="8" t="s">
        <v>1087</v>
      </c>
      <c r="U147" s="29" t="s">
        <v>1039</v>
      </c>
      <c r="V147" s="24" t="str">
        <f>VLOOKUP(A147,'tagging table'!A:G,7,0)</f>
        <v>Dairy</v>
      </c>
    </row>
    <row r="148">
      <c r="A148" s="30">
        <v>7.290106528567E12</v>
      </c>
      <c r="B148" s="20" t="s">
        <v>1088</v>
      </c>
      <c r="C148" s="21">
        <v>0.1675</v>
      </c>
      <c r="D148" s="21">
        <v>0.31</v>
      </c>
      <c r="E148" s="21">
        <v>0.07</v>
      </c>
      <c r="F148" s="22">
        <v>4.0</v>
      </c>
      <c r="G148" s="23"/>
      <c r="H148" s="24" t="s">
        <v>1089</v>
      </c>
      <c r="I148" s="21" t="s">
        <v>1090</v>
      </c>
      <c r="J148" s="24"/>
      <c r="K148" s="24" t="s">
        <v>1091</v>
      </c>
      <c r="L148" s="20" t="s">
        <v>1092</v>
      </c>
      <c r="M148" s="25" t="s">
        <v>1093</v>
      </c>
      <c r="N148" s="26" t="s">
        <v>28</v>
      </c>
      <c r="O148" s="24" t="s">
        <v>109</v>
      </c>
      <c r="P148" s="24" t="s">
        <v>1094</v>
      </c>
      <c r="Q148" s="27"/>
      <c r="R148" s="27"/>
      <c r="S148" s="31" t="s">
        <v>1095</v>
      </c>
      <c r="T148" s="8" t="s">
        <v>1093</v>
      </c>
      <c r="U148" s="29" t="s">
        <v>1090</v>
      </c>
      <c r="V148" s="21" t="s">
        <v>113</v>
      </c>
    </row>
    <row r="149">
      <c r="A149" s="30">
        <v>7.290100850923E12</v>
      </c>
      <c r="B149" s="20" t="s">
        <v>1096</v>
      </c>
      <c r="C149" s="21">
        <v>0.133</v>
      </c>
      <c r="D149" s="21">
        <v>0.21</v>
      </c>
      <c r="E149" s="21">
        <v>0.05</v>
      </c>
      <c r="F149" s="22">
        <v>6.0</v>
      </c>
      <c r="G149" s="23"/>
      <c r="H149" s="24" t="s">
        <v>1089</v>
      </c>
      <c r="I149" s="21" t="s">
        <v>1090</v>
      </c>
      <c r="J149" s="24"/>
      <c r="K149" s="24" t="s">
        <v>1097</v>
      </c>
      <c r="L149" s="20" t="s">
        <v>1098</v>
      </c>
      <c r="M149" s="25" t="s">
        <v>1099</v>
      </c>
      <c r="N149" s="26" t="s">
        <v>28</v>
      </c>
      <c r="O149" s="24" t="s">
        <v>109</v>
      </c>
      <c r="P149" s="24" t="s">
        <v>1094</v>
      </c>
      <c r="Q149" s="27"/>
      <c r="R149" s="27"/>
      <c r="S149" s="28" t="s">
        <v>1100</v>
      </c>
      <c r="T149" s="8" t="s">
        <v>1099</v>
      </c>
      <c r="U149" s="29" t="s">
        <v>1090</v>
      </c>
      <c r="V149" s="21" t="s">
        <v>113</v>
      </c>
    </row>
    <row r="150">
      <c r="A150" s="30">
        <v>7.290010117864E12</v>
      </c>
      <c r="B150" s="20" t="s">
        <v>1101</v>
      </c>
      <c r="C150" s="21">
        <v>0.133</v>
      </c>
      <c r="D150" s="21">
        <v>0.21</v>
      </c>
      <c r="E150" s="21">
        <v>0.05</v>
      </c>
      <c r="F150" s="22">
        <v>6.0</v>
      </c>
      <c r="G150" s="23"/>
      <c r="H150" s="24" t="s">
        <v>1089</v>
      </c>
      <c r="I150" s="21" t="s">
        <v>1090</v>
      </c>
      <c r="J150" s="24"/>
      <c r="K150" s="24" t="s">
        <v>1102</v>
      </c>
      <c r="L150" s="20" t="s">
        <v>1103</v>
      </c>
      <c r="M150" s="25" t="s">
        <v>1104</v>
      </c>
      <c r="N150" s="26" t="s">
        <v>28</v>
      </c>
      <c r="O150" s="24" t="s">
        <v>109</v>
      </c>
      <c r="P150" s="24" t="s">
        <v>1094</v>
      </c>
      <c r="Q150" s="27"/>
      <c r="R150" s="27"/>
      <c r="S150" s="28" t="s">
        <v>1105</v>
      </c>
      <c r="T150" s="8" t="s">
        <v>1104</v>
      </c>
      <c r="U150" s="29" t="s">
        <v>1090</v>
      </c>
      <c r="V150" s="21" t="s">
        <v>113</v>
      </c>
    </row>
    <row r="151">
      <c r="A151" s="30">
        <v>7.290106667266E12</v>
      </c>
      <c r="B151" s="20" t="s">
        <v>1106</v>
      </c>
      <c r="C151" s="21">
        <v>0.1675</v>
      </c>
      <c r="D151" s="21">
        <v>0.31</v>
      </c>
      <c r="E151" s="21">
        <v>0.07</v>
      </c>
      <c r="F151" s="22">
        <v>4.0</v>
      </c>
      <c r="G151" s="23"/>
      <c r="H151" s="24" t="s">
        <v>1089</v>
      </c>
      <c r="I151" s="21" t="s">
        <v>1090</v>
      </c>
      <c r="J151" s="24"/>
      <c r="K151" s="24" t="s">
        <v>1107</v>
      </c>
      <c r="L151" s="20" t="s">
        <v>1108</v>
      </c>
      <c r="M151" s="25" t="s">
        <v>1109</v>
      </c>
      <c r="N151" s="26" t="s">
        <v>28</v>
      </c>
      <c r="O151" s="24" t="s">
        <v>109</v>
      </c>
      <c r="P151" s="24" t="s">
        <v>1094</v>
      </c>
      <c r="Q151" s="27"/>
      <c r="R151" s="27"/>
      <c r="S151" s="28" t="s">
        <v>1110</v>
      </c>
      <c r="T151" s="33" t="s">
        <v>1109</v>
      </c>
      <c r="U151" s="29" t="s">
        <v>1090</v>
      </c>
      <c r="V151" s="21" t="s">
        <v>113</v>
      </c>
    </row>
    <row r="152">
      <c r="A152" s="30">
        <v>7.290100850916E12</v>
      </c>
      <c r="B152" s="20" t="s">
        <v>1111</v>
      </c>
      <c r="C152" s="21">
        <v>0.133</v>
      </c>
      <c r="D152" s="21">
        <v>0.21</v>
      </c>
      <c r="E152" s="21">
        <v>0.05</v>
      </c>
      <c r="F152" s="22">
        <v>6.0</v>
      </c>
      <c r="G152" s="23"/>
      <c r="H152" s="24" t="s">
        <v>1089</v>
      </c>
      <c r="I152" s="21" t="s">
        <v>1090</v>
      </c>
      <c r="J152" s="24"/>
      <c r="K152" s="24" t="s">
        <v>1112</v>
      </c>
      <c r="L152" s="20" t="s">
        <v>1113</v>
      </c>
      <c r="M152" s="25" t="s">
        <v>1114</v>
      </c>
      <c r="N152" s="26" t="s">
        <v>28</v>
      </c>
      <c r="O152" s="24" t="s">
        <v>109</v>
      </c>
      <c r="P152" s="24" t="s">
        <v>1094</v>
      </c>
      <c r="Q152" s="27"/>
      <c r="R152" s="27"/>
      <c r="S152" s="28" t="s">
        <v>1115</v>
      </c>
      <c r="T152" s="8" t="s">
        <v>1114</v>
      </c>
      <c r="U152" s="29" t="s">
        <v>1090</v>
      </c>
      <c r="V152" s="21" t="s">
        <v>113</v>
      </c>
    </row>
    <row r="153">
      <c r="A153" s="30">
        <v>7.290106528628E12</v>
      </c>
      <c r="B153" s="20" t="s">
        <v>1116</v>
      </c>
      <c r="C153" s="21">
        <v>0.1675</v>
      </c>
      <c r="D153" s="21">
        <v>0.31</v>
      </c>
      <c r="E153" s="21">
        <v>0.07</v>
      </c>
      <c r="F153" s="22">
        <v>4.0</v>
      </c>
      <c r="G153" s="23"/>
      <c r="H153" s="24" t="s">
        <v>1089</v>
      </c>
      <c r="I153" s="21" t="s">
        <v>1090</v>
      </c>
      <c r="J153" s="24"/>
      <c r="K153" s="24" t="s">
        <v>1117</v>
      </c>
      <c r="L153" s="20" t="s">
        <v>1118</v>
      </c>
      <c r="M153" s="25" t="s">
        <v>1119</v>
      </c>
      <c r="N153" s="26" t="s">
        <v>28</v>
      </c>
      <c r="O153" s="24" t="s">
        <v>109</v>
      </c>
      <c r="P153" s="24" t="s">
        <v>1094</v>
      </c>
      <c r="Q153" s="27"/>
      <c r="R153" s="27"/>
      <c r="S153" s="28" t="s">
        <v>1120</v>
      </c>
      <c r="T153" s="8" t="s">
        <v>1119</v>
      </c>
      <c r="U153" s="29" t="s">
        <v>1090</v>
      </c>
      <c r="V153" s="21" t="s">
        <v>113</v>
      </c>
    </row>
    <row r="154">
      <c r="A154" s="30">
        <v>7.29010085093E12</v>
      </c>
      <c r="B154" s="20" t="s">
        <v>1121</v>
      </c>
      <c r="C154" s="21">
        <v>0.133</v>
      </c>
      <c r="D154" s="21">
        <v>0.21</v>
      </c>
      <c r="E154" s="21">
        <v>0.05</v>
      </c>
      <c r="F154" s="22">
        <v>6.0</v>
      </c>
      <c r="G154" s="23"/>
      <c r="H154" s="24" t="s">
        <v>1089</v>
      </c>
      <c r="I154" s="21" t="s">
        <v>1090</v>
      </c>
      <c r="J154" s="24"/>
      <c r="K154" s="24" t="s">
        <v>1122</v>
      </c>
      <c r="L154" s="20" t="s">
        <v>1123</v>
      </c>
      <c r="M154" s="25" t="s">
        <v>1124</v>
      </c>
      <c r="N154" s="26" t="s">
        <v>28</v>
      </c>
      <c r="O154" s="24" t="s">
        <v>109</v>
      </c>
      <c r="P154" s="24" t="s">
        <v>1094</v>
      </c>
      <c r="Q154" s="27"/>
      <c r="R154" s="27"/>
      <c r="S154" s="31" t="s">
        <v>1125</v>
      </c>
      <c r="T154" s="8" t="s">
        <v>1124</v>
      </c>
      <c r="U154" s="29" t="s">
        <v>1090</v>
      </c>
      <c r="V154" s="21" t="s">
        <v>113</v>
      </c>
    </row>
    <row r="155">
      <c r="A155" s="30">
        <v>7.290000066264E12</v>
      </c>
      <c r="B155" s="20" t="s">
        <v>1126</v>
      </c>
      <c r="C155" s="21">
        <v>0.145</v>
      </c>
      <c r="D155" s="21">
        <v>0.189</v>
      </c>
      <c r="E155" s="21">
        <v>0.055</v>
      </c>
      <c r="F155" s="22">
        <v>5.0</v>
      </c>
      <c r="G155" s="23"/>
      <c r="H155" s="36" t="s">
        <v>1127</v>
      </c>
      <c r="I155" s="21" t="s">
        <v>1128</v>
      </c>
      <c r="J155" s="24"/>
      <c r="K155" s="24" t="s">
        <v>1129</v>
      </c>
      <c r="L155" s="20" t="s">
        <v>1130</v>
      </c>
      <c r="M155" s="25" t="s">
        <v>1131</v>
      </c>
      <c r="N155" s="26" t="s">
        <v>37</v>
      </c>
      <c r="O155" s="24" t="s">
        <v>109</v>
      </c>
      <c r="P155" s="24" t="s">
        <v>380</v>
      </c>
      <c r="Q155" s="27"/>
      <c r="R155" s="27"/>
      <c r="S155" s="28" t="s">
        <v>1132</v>
      </c>
      <c r="T155" s="8" t="s">
        <v>1133</v>
      </c>
      <c r="U155" s="29" t="e">
        <v>#N/A</v>
      </c>
      <c r="V155" s="21" t="s">
        <v>113</v>
      </c>
    </row>
    <row r="156">
      <c r="A156" s="30">
        <v>7.290006653857E12</v>
      </c>
      <c r="B156" s="20" t="s">
        <v>1134</v>
      </c>
      <c r="C156" s="21">
        <v>0.145</v>
      </c>
      <c r="D156" s="21">
        <v>0.189</v>
      </c>
      <c r="E156" s="21">
        <v>0.055</v>
      </c>
      <c r="F156" s="22">
        <v>5.0</v>
      </c>
      <c r="G156" s="23"/>
      <c r="H156" s="36" t="s">
        <v>1127</v>
      </c>
      <c r="I156" s="21" t="s">
        <v>1128</v>
      </c>
      <c r="J156" s="24"/>
      <c r="K156" s="24" t="s">
        <v>1135</v>
      </c>
      <c r="L156" s="20" t="s">
        <v>1136</v>
      </c>
      <c r="M156" s="25" t="s">
        <v>1137</v>
      </c>
      <c r="N156" s="26" t="s">
        <v>37</v>
      </c>
      <c r="O156" s="24" t="s">
        <v>109</v>
      </c>
      <c r="P156" s="24" t="s">
        <v>380</v>
      </c>
      <c r="Q156" s="27"/>
      <c r="R156" s="27"/>
      <c r="S156" s="28" t="s">
        <v>1138</v>
      </c>
      <c r="T156" s="8" t="s">
        <v>1139</v>
      </c>
      <c r="U156" s="29" t="e">
        <v>#N/A</v>
      </c>
      <c r="V156" s="21" t="s">
        <v>113</v>
      </c>
    </row>
    <row r="157">
      <c r="A157" s="30">
        <v>5431128.0</v>
      </c>
      <c r="B157" s="20" t="s">
        <v>1140</v>
      </c>
      <c r="C157" s="21">
        <v>0.073</v>
      </c>
      <c r="D157" s="21">
        <v>0.072</v>
      </c>
      <c r="E157" s="21">
        <v>0.075</v>
      </c>
      <c r="F157" s="22">
        <v>4.0</v>
      </c>
      <c r="G157" s="23"/>
      <c r="H157" s="24" t="s">
        <v>1141</v>
      </c>
      <c r="I157" s="21" t="s">
        <v>1142</v>
      </c>
      <c r="J157" s="24"/>
      <c r="K157" s="24" t="s">
        <v>1143</v>
      </c>
      <c r="L157" s="20" t="s">
        <v>1144</v>
      </c>
      <c r="M157" s="25" t="s">
        <v>1145</v>
      </c>
      <c r="N157" s="26" t="s">
        <v>28</v>
      </c>
      <c r="O157" s="24" t="s">
        <v>1011</v>
      </c>
      <c r="P157" s="24" t="s">
        <v>1146</v>
      </c>
      <c r="Q157" s="27"/>
      <c r="R157" s="27"/>
      <c r="S157" s="28" t="s">
        <v>1147</v>
      </c>
      <c r="T157" s="8" t="s">
        <v>1148</v>
      </c>
      <c r="U157" s="29" t="s">
        <v>1142</v>
      </c>
      <c r="V157" s="24" t="str">
        <f>iferror(VLOOKUP(A157,'tagging table'!A:G,7,0),"")</f>
        <v>Dairy</v>
      </c>
    </row>
    <row r="158">
      <c r="A158" s="30">
        <v>5431999.0</v>
      </c>
      <c r="B158" s="20" t="s">
        <v>1149</v>
      </c>
      <c r="C158" s="21">
        <v>0.073</v>
      </c>
      <c r="D158" s="21">
        <v>0.072</v>
      </c>
      <c r="E158" s="21">
        <v>0.075</v>
      </c>
      <c r="F158" s="22">
        <v>4.0</v>
      </c>
      <c r="G158" s="23"/>
      <c r="H158" s="24" t="s">
        <v>1141</v>
      </c>
      <c r="I158" s="21" t="s">
        <v>1142</v>
      </c>
      <c r="J158" s="24"/>
      <c r="K158" s="24" t="s">
        <v>1150</v>
      </c>
      <c r="L158" s="20" t="s">
        <v>1151</v>
      </c>
      <c r="M158" s="25" t="s">
        <v>1152</v>
      </c>
      <c r="N158" s="26" t="s">
        <v>28</v>
      </c>
      <c r="O158" s="24" t="s">
        <v>1011</v>
      </c>
      <c r="P158" s="24" t="s">
        <v>1146</v>
      </c>
      <c r="Q158" s="27"/>
      <c r="R158" s="27"/>
      <c r="S158" s="28" t="s">
        <v>1153</v>
      </c>
      <c r="T158" s="8" t="s">
        <v>1154</v>
      </c>
      <c r="U158" s="29" t="s">
        <v>1142</v>
      </c>
      <c r="V158" s="24" t="str">
        <f>iferror(VLOOKUP(A158,'tagging table'!A:G,7,0),"")</f>
        <v>Dairy</v>
      </c>
    </row>
    <row r="159">
      <c r="A159" s="30">
        <v>7.2917329E7</v>
      </c>
      <c r="B159" s="20" t="s">
        <v>1155</v>
      </c>
      <c r="C159" s="21">
        <v>0.13</v>
      </c>
      <c r="D159" s="21">
        <v>0.035</v>
      </c>
      <c r="E159" s="21">
        <v>0.02</v>
      </c>
      <c r="F159" s="22">
        <v>15.0</v>
      </c>
      <c r="G159" s="23"/>
      <c r="H159" s="24" t="s">
        <v>1156</v>
      </c>
      <c r="I159" s="21" t="s">
        <v>1157</v>
      </c>
      <c r="J159" s="24"/>
      <c r="K159" s="24" t="s">
        <v>1158</v>
      </c>
      <c r="L159" s="20" t="s">
        <v>1159</v>
      </c>
      <c r="M159" s="25" t="s">
        <v>1160</v>
      </c>
      <c r="N159" s="26" t="s">
        <v>28</v>
      </c>
      <c r="O159" s="24" t="s">
        <v>501</v>
      </c>
      <c r="P159" s="24" t="s">
        <v>502</v>
      </c>
      <c r="Q159" s="27"/>
      <c r="R159" s="27"/>
      <c r="S159" s="31" t="s">
        <v>1161</v>
      </c>
      <c r="T159" s="8" t="s">
        <v>1162</v>
      </c>
      <c r="U159" s="29" t="s">
        <v>1157</v>
      </c>
      <c r="V159" s="24" t="str">
        <f>VLOOKUP(A159,'tagging table'!A:G,7,0)</f>
        <v>Cashiers</v>
      </c>
    </row>
    <row r="160">
      <c r="A160" s="30">
        <v>7.290000174723E12</v>
      </c>
      <c r="B160" s="20" t="s">
        <v>1163</v>
      </c>
      <c r="C160" s="21">
        <v>0.085</v>
      </c>
      <c r="D160" s="21">
        <v>0.14</v>
      </c>
      <c r="E160" s="21">
        <v>0.09999999</v>
      </c>
      <c r="F160" s="22">
        <v>3.0</v>
      </c>
      <c r="G160" s="23"/>
      <c r="H160" s="32" t="s">
        <v>1164</v>
      </c>
      <c r="I160" s="21" t="s">
        <v>1165</v>
      </c>
      <c r="J160" s="24"/>
      <c r="K160" s="24" t="s">
        <v>1166</v>
      </c>
      <c r="L160" s="20" t="s">
        <v>1167</v>
      </c>
      <c r="M160" s="25" t="s">
        <v>1168</v>
      </c>
      <c r="N160" s="26" t="s">
        <v>37</v>
      </c>
      <c r="O160" s="24" t="s">
        <v>1169</v>
      </c>
      <c r="P160" s="24" t="s">
        <v>1169</v>
      </c>
      <c r="Q160" s="27"/>
      <c r="R160" s="27"/>
      <c r="S160" s="28" t="s">
        <v>1170</v>
      </c>
      <c r="T160" s="8" t="s">
        <v>1171</v>
      </c>
      <c r="U160" s="29" t="e">
        <v>#N/A</v>
      </c>
      <c r="V160" s="21" t="s">
        <v>55</v>
      </c>
    </row>
    <row r="161">
      <c r="A161" s="30">
        <v>7.290005199622E12</v>
      </c>
      <c r="B161" s="20" t="s">
        <v>1172</v>
      </c>
      <c r="C161" s="21">
        <v>0.24</v>
      </c>
      <c r="D161" s="21">
        <v>0.09</v>
      </c>
      <c r="E161" s="21">
        <v>0.03</v>
      </c>
      <c r="F161" s="22">
        <v>10.0</v>
      </c>
      <c r="G161" s="23"/>
      <c r="H161" s="32" t="s">
        <v>1173</v>
      </c>
      <c r="I161" s="21" t="s">
        <v>1174</v>
      </c>
      <c r="J161" s="35" t="s">
        <v>1175</v>
      </c>
      <c r="K161" s="36" t="s">
        <v>1176</v>
      </c>
      <c r="L161" s="20" t="s">
        <v>1177</v>
      </c>
      <c r="M161" s="38" t="s">
        <v>1178</v>
      </c>
      <c r="N161" s="26" t="s">
        <v>37</v>
      </c>
      <c r="O161" s="24" t="s">
        <v>501</v>
      </c>
      <c r="P161" s="24" t="s">
        <v>502</v>
      </c>
      <c r="Q161" s="27"/>
      <c r="R161" s="27"/>
      <c r="S161" s="31" t="s">
        <v>1179</v>
      </c>
      <c r="T161" s="33" t="s">
        <v>1180</v>
      </c>
      <c r="U161" s="29" t="e">
        <v>#N/A</v>
      </c>
      <c r="V161" s="21" t="s">
        <v>211</v>
      </c>
    </row>
    <row r="162">
      <c r="A162" s="30">
        <v>7.290000181103E12</v>
      </c>
      <c r="B162" s="20" t="s">
        <v>1181</v>
      </c>
      <c r="C162" s="21">
        <v>0.24</v>
      </c>
      <c r="D162" s="21">
        <v>0.09</v>
      </c>
      <c r="E162" s="21">
        <v>0.03</v>
      </c>
      <c r="F162" s="22">
        <v>10.0</v>
      </c>
      <c r="G162" s="23"/>
      <c r="H162" s="32" t="s">
        <v>1173</v>
      </c>
      <c r="I162" s="21" t="s">
        <v>1174</v>
      </c>
      <c r="J162" s="35" t="s">
        <v>1175</v>
      </c>
      <c r="K162" s="36" t="s">
        <v>1182</v>
      </c>
      <c r="L162" s="20" t="s">
        <v>1183</v>
      </c>
      <c r="M162" s="25" t="s">
        <v>1184</v>
      </c>
      <c r="N162" s="26" t="s">
        <v>37</v>
      </c>
      <c r="O162" s="24" t="s">
        <v>501</v>
      </c>
      <c r="P162" s="24" t="s">
        <v>502</v>
      </c>
      <c r="Q162" s="27"/>
      <c r="R162" s="27"/>
      <c r="S162" s="31" t="s">
        <v>1185</v>
      </c>
      <c r="T162" s="33" t="s">
        <v>1186</v>
      </c>
      <c r="U162" s="29" t="e">
        <v>#N/A</v>
      </c>
      <c r="V162" s="21" t="s">
        <v>211</v>
      </c>
    </row>
    <row r="163">
      <c r="A163" s="30">
        <v>7.290107954457E12</v>
      </c>
      <c r="B163" s="20" t="s">
        <v>1187</v>
      </c>
      <c r="C163" s="21">
        <v>0.28</v>
      </c>
      <c r="D163" s="21">
        <v>0.128</v>
      </c>
      <c r="E163" s="21">
        <v>0.03</v>
      </c>
      <c r="F163" s="22">
        <v>10.0</v>
      </c>
      <c r="G163" s="23"/>
      <c r="H163" s="24" t="s">
        <v>1188</v>
      </c>
      <c r="I163" s="21" t="s">
        <v>1189</v>
      </c>
      <c r="J163" s="21" t="s">
        <v>1190</v>
      </c>
      <c r="K163" s="24" t="s">
        <v>1191</v>
      </c>
      <c r="L163" s="20" t="s">
        <v>1192</v>
      </c>
      <c r="M163" s="25" t="s">
        <v>1193</v>
      </c>
      <c r="N163" s="26" t="s">
        <v>28</v>
      </c>
      <c r="O163" s="24" t="s">
        <v>1194</v>
      </c>
      <c r="P163" s="24" t="s">
        <v>1195</v>
      </c>
      <c r="Q163" s="27"/>
      <c r="R163" s="27"/>
      <c r="S163" s="28" t="s">
        <v>1196</v>
      </c>
      <c r="T163" s="8" t="s">
        <v>1197</v>
      </c>
      <c r="U163" s="29" t="s">
        <v>1198</v>
      </c>
      <c r="V163" s="24" t="str">
        <f>iferror(VLOOKUP(A163,'tagging table'!A:G,7,0),"")</f>
        <v>Waffles &amp; cookies</v>
      </c>
    </row>
    <row r="164">
      <c r="A164" s="30">
        <v>7.290112345332E12</v>
      </c>
      <c r="B164" s="20" t="s">
        <v>1199</v>
      </c>
      <c r="C164" s="21">
        <v>0.27</v>
      </c>
      <c r="D164" s="21">
        <v>0.115</v>
      </c>
      <c r="E164" s="21">
        <v>0.045</v>
      </c>
      <c r="F164" s="22">
        <v>7.0</v>
      </c>
      <c r="G164" s="23"/>
      <c r="H164" s="32" t="s">
        <v>1188</v>
      </c>
      <c r="I164" s="21" t="s">
        <v>1189</v>
      </c>
      <c r="J164" s="35" t="s">
        <v>1190</v>
      </c>
      <c r="K164" s="36" t="s">
        <v>1200</v>
      </c>
      <c r="L164" s="20" t="s">
        <v>1201</v>
      </c>
      <c r="M164" s="25" t="s">
        <v>1202</v>
      </c>
      <c r="N164" s="26" t="s">
        <v>28</v>
      </c>
      <c r="O164" s="24" t="s">
        <v>1194</v>
      </c>
      <c r="P164" s="24" t="s">
        <v>1203</v>
      </c>
      <c r="Q164" s="27"/>
      <c r="R164" s="27"/>
      <c r="S164" s="28" t="s">
        <v>1204</v>
      </c>
      <c r="T164" s="8" t="s">
        <v>1205</v>
      </c>
      <c r="U164" s="29" t="s">
        <v>1198</v>
      </c>
      <c r="V164" s="24" t="str">
        <f>iferror(VLOOKUP(A164,'tagging table'!A:G,7,0),"")</f>
        <v>Waffles &amp; cookies</v>
      </c>
    </row>
    <row r="165">
      <c r="A165" s="30">
        <v>7.290110564513E12</v>
      </c>
      <c r="B165" s="20" t="s">
        <v>1206</v>
      </c>
      <c r="C165" s="21">
        <v>0.27</v>
      </c>
      <c r="D165" s="21">
        <v>0.115</v>
      </c>
      <c r="E165" s="21">
        <v>0.045</v>
      </c>
      <c r="F165" s="22">
        <v>7.0</v>
      </c>
      <c r="G165" s="23"/>
      <c r="H165" s="32" t="s">
        <v>1188</v>
      </c>
      <c r="I165" s="21" t="s">
        <v>1189</v>
      </c>
      <c r="J165" s="35" t="s">
        <v>1190</v>
      </c>
      <c r="K165" s="36" t="s">
        <v>1207</v>
      </c>
      <c r="L165" s="20" t="s">
        <v>1208</v>
      </c>
      <c r="M165" s="25" t="s">
        <v>1209</v>
      </c>
      <c r="N165" s="26" t="s">
        <v>37</v>
      </c>
      <c r="O165" s="24"/>
      <c r="P165" s="24"/>
      <c r="Q165" s="27"/>
      <c r="R165" s="27"/>
      <c r="S165" s="28"/>
      <c r="T165" s="8"/>
      <c r="U165" s="29"/>
      <c r="V165" s="21" t="s">
        <v>211</v>
      </c>
    </row>
    <row r="166">
      <c r="A166" s="30">
        <v>7.290100853689E12</v>
      </c>
      <c r="B166" s="20" t="s">
        <v>1210</v>
      </c>
      <c r="C166" s="21">
        <v>0.28</v>
      </c>
      <c r="D166" s="21">
        <v>0.125</v>
      </c>
      <c r="E166" s="21">
        <v>0.03</v>
      </c>
      <c r="F166" s="22">
        <v>10.0</v>
      </c>
      <c r="G166" s="23"/>
      <c r="H166" s="32" t="s">
        <v>1188</v>
      </c>
      <c r="I166" s="21" t="s">
        <v>1189</v>
      </c>
      <c r="J166" s="35" t="s">
        <v>1190</v>
      </c>
      <c r="K166" s="36" t="s">
        <v>1211</v>
      </c>
      <c r="L166" s="20" t="s">
        <v>1212</v>
      </c>
      <c r="M166" s="25" t="s">
        <v>1213</v>
      </c>
      <c r="N166" s="26" t="s">
        <v>28</v>
      </c>
      <c r="O166" s="24" t="s">
        <v>1194</v>
      </c>
      <c r="P166" s="24" t="s">
        <v>1195</v>
      </c>
      <c r="Q166" s="27"/>
      <c r="R166" s="27"/>
      <c r="S166" s="28" t="s">
        <v>1214</v>
      </c>
      <c r="T166" s="8" t="s">
        <v>1215</v>
      </c>
      <c r="U166" s="29" t="s">
        <v>1198</v>
      </c>
      <c r="V166" s="24" t="str">
        <f>iferror(VLOOKUP(A166,'tagging table'!A:G,7,0),"")</f>
        <v>Waffles &amp; cookies</v>
      </c>
    </row>
    <row r="167">
      <c r="A167" s="30">
        <v>7.290110566623E12</v>
      </c>
      <c r="B167" s="20" t="s">
        <v>1216</v>
      </c>
      <c r="C167" s="21">
        <v>0.08</v>
      </c>
      <c r="D167" s="21">
        <v>0.195</v>
      </c>
      <c r="E167" s="21">
        <v>0.03</v>
      </c>
      <c r="F167" s="22">
        <v>10.0</v>
      </c>
      <c r="G167" s="23"/>
      <c r="H167" s="24" t="s">
        <v>1217</v>
      </c>
      <c r="I167" s="21" t="s">
        <v>1218</v>
      </c>
      <c r="J167" s="24"/>
      <c r="K167" s="24" t="s">
        <v>1219</v>
      </c>
      <c r="L167" s="20" t="s">
        <v>1220</v>
      </c>
      <c r="M167" s="25" t="s">
        <v>1221</v>
      </c>
      <c r="N167" s="26" t="s">
        <v>28</v>
      </c>
      <c r="O167" s="24" t="s">
        <v>1222</v>
      </c>
      <c r="P167" s="24" t="s">
        <v>1223</v>
      </c>
      <c r="Q167" s="27"/>
      <c r="R167" s="27"/>
      <c r="S167" s="31" t="s">
        <v>1224</v>
      </c>
      <c r="T167" s="33" t="s">
        <v>1225</v>
      </c>
      <c r="U167" s="29" t="s">
        <v>1226</v>
      </c>
      <c r="V167" s="24" t="str">
        <f>iferror(VLOOKUP(A167,'tagging table'!A:G,7,0),"")</f>
        <v>Hot Beverage</v>
      </c>
    </row>
    <row r="168">
      <c r="A168" s="30">
        <v>7.290106525399E12</v>
      </c>
      <c r="B168" s="20" t="s">
        <v>1227</v>
      </c>
      <c r="C168" s="21">
        <v>0.08</v>
      </c>
      <c r="D168" s="21">
        <v>0.195</v>
      </c>
      <c r="E168" s="21">
        <v>0.03</v>
      </c>
      <c r="F168" s="22">
        <v>10.0</v>
      </c>
      <c r="G168" s="23"/>
      <c r="H168" s="24" t="s">
        <v>1217</v>
      </c>
      <c r="I168" s="21" t="s">
        <v>1228</v>
      </c>
      <c r="J168" s="24"/>
      <c r="K168" s="24" t="s">
        <v>1229</v>
      </c>
      <c r="L168" s="20" t="s">
        <v>1230</v>
      </c>
      <c r="M168" s="25" t="s">
        <v>1231</v>
      </c>
      <c r="N168" s="26" t="s">
        <v>28</v>
      </c>
      <c r="O168" s="24" t="s">
        <v>1222</v>
      </c>
      <c r="P168" s="24" t="s">
        <v>1223</v>
      </c>
      <c r="Q168" s="27"/>
      <c r="R168" s="27"/>
      <c r="S168" s="31" t="s">
        <v>1232</v>
      </c>
      <c r="T168" s="33" t="s">
        <v>1233</v>
      </c>
      <c r="U168" s="29" t="s">
        <v>1226</v>
      </c>
      <c r="V168" s="24" t="str">
        <f>iferror(VLOOKUP(A168,'tagging table'!A:G,7,0),"")</f>
        <v>Hot Beverage</v>
      </c>
    </row>
    <row r="169">
      <c r="A169" s="30">
        <v>7.290107956932E12</v>
      </c>
      <c r="B169" s="20" t="s">
        <v>1234</v>
      </c>
      <c r="C169" s="21">
        <v>0.08</v>
      </c>
      <c r="D169" s="21">
        <v>0.195</v>
      </c>
      <c r="E169" s="21">
        <v>0.03</v>
      </c>
      <c r="F169" s="22">
        <v>10.0</v>
      </c>
      <c r="G169" s="23"/>
      <c r="H169" s="24" t="s">
        <v>1217</v>
      </c>
      <c r="I169" s="21" t="s">
        <v>1235</v>
      </c>
      <c r="J169" s="24"/>
      <c r="K169" s="24" t="s">
        <v>1236</v>
      </c>
      <c r="L169" s="20" t="s">
        <v>1237</v>
      </c>
      <c r="M169" s="25" t="s">
        <v>1238</v>
      </c>
      <c r="N169" s="26" t="s">
        <v>28</v>
      </c>
      <c r="O169" s="24" t="s">
        <v>1222</v>
      </c>
      <c r="P169" s="24" t="s">
        <v>1223</v>
      </c>
      <c r="Q169" s="27"/>
      <c r="R169" s="27"/>
      <c r="S169" s="31" t="s">
        <v>1239</v>
      </c>
      <c r="T169" s="33" t="s">
        <v>1240</v>
      </c>
      <c r="U169" s="29" t="s">
        <v>1226</v>
      </c>
      <c r="V169" s="24" t="str">
        <f>iferror(VLOOKUP(A169,'tagging table'!A:G,7,0),"")</f>
        <v>Hot Beverage</v>
      </c>
    </row>
    <row r="170">
      <c r="A170" s="30">
        <v>7.290107953559E12</v>
      </c>
      <c r="B170" s="20" t="s">
        <v>1241</v>
      </c>
      <c r="C170" s="21">
        <v>0.11</v>
      </c>
      <c r="D170" s="21">
        <v>0.18</v>
      </c>
      <c r="E170" s="21">
        <v>0.025</v>
      </c>
      <c r="F170" s="22">
        <v>12.0</v>
      </c>
      <c r="G170" s="23"/>
      <c r="H170" s="24" t="s">
        <v>1217</v>
      </c>
      <c r="I170" s="21" t="s">
        <v>1242</v>
      </c>
      <c r="J170" s="24"/>
      <c r="K170" s="24" t="s">
        <v>1243</v>
      </c>
      <c r="L170" s="20" t="s">
        <v>1244</v>
      </c>
      <c r="M170" s="25" t="s">
        <v>1245</v>
      </c>
      <c r="N170" s="26" t="s">
        <v>28</v>
      </c>
      <c r="O170" s="24" t="s">
        <v>51</v>
      </c>
      <c r="P170" s="24" t="s">
        <v>52</v>
      </c>
      <c r="Q170" s="27"/>
      <c r="R170" s="27"/>
      <c r="S170" s="31" t="s">
        <v>1246</v>
      </c>
      <c r="T170" s="33" t="s">
        <v>1247</v>
      </c>
      <c r="U170" s="29" t="s">
        <v>1248</v>
      </c>
      <c r="V170" s="24" t="str">
        <f>iferror(VLOOKUP(A170,'tagging table'!A:G,7,0),"")</f>
        <v>Hot Beverage</v>
      </c>
    </row>
    <row r="171">
      <c r="A171" s="30">
        <v>8.003753158556E12</v>
      </c>
      <c r="B171" s="20" t="s">
        <v>1249</v>
      </c>
      <c r="C171" s="21">
        <v>0.09</v>
      </c>
      <c r="D171" s="21">
        <v>0.195</v>
      </c>
      <c r="E171" s="21">
        <v>0.13</v>
      </c>
      <c r="F171" s="22">
        <v>2.0</v>
      </c>
      <c r="G171" s="23"/>
      <c r="H171" s="24" t="s">
        <v>1217</v>
      </c>
      <c r="I171" s="21" t="s">
        <v>1250</v>
      </c>
      <c r="J171" s="24"/>
      <c r="K171" s="24" t="s">
        <v>1251</v>
      </c>
      <c r="L171" s="20" t="s">
        <v>1252</v>
      </c>
      <c r="M171" s="25" t="s">
        <v>1253</v>
      </c>
      <c r="N171" s="26" t="s">
        <v>28</v>
      </c>
      <c r="O171" s="24" t="s">
        <v>1222</v>
      </c>
      <c r="P171" s="24" t="s">
        <v>1223</v>
      </c>
      <c r="Q171" s="27"/>
      <c r="R171" s="27"/>
      <c r="S171" s="31" t="s">
        <v>1254</v>
      </c>
      <c r="T171" s="33" t="s">
        <v>1255</v>
      </c>
      <c r="U171" s="29" t="s">
        <v>1256</v>
      </c>
      <c r="V171" s="24" t="str">
        <f>iferror(VLOOKUP(A171,'tagging table'!A:G,7,0),"")</f>
        <v>Hot Beverage</v>
      </c>
    </row>
    <row r="172">
      <c r="A172" s="30">
        <v>7.290112344427E12</v>
      </c>
      <c r="B172" s="20" t="s">
        <v>1257</v>
      </c>
      <c r="C172" s="21">
        <v>0.08</v>
      </c>
      <c r="D172" s="21">
        <v>0.13</v>
      </c>
      <c r="E172" s="21">
        <v>0.057</v>
      </c>
      <c r="F172" s="22">
        <v>5.0</v>
      </c>
      <c r="G172" s="23"/>
      <c r="H172" s="24" t="s">
        <v>1217</v>
      </c>
      <c r="I172" s="21" t="s">
        <v>1258</v>
      </c>
      <c r="J172" s="24"/>
      <c r="K172" s="24" t="s">
        <v>1259</v>
      </c>
      <c r="L172" s="20" t="s">
        <v>1260</v>
      </c>
      <c r="M172" s="25" t="s">
        <v>1261</v>
      </c>
      <c r="N172" s="26" t="s">
        <v>28</v>
      </c>
      <c r="O172" s="24" t="s">
        <v>1262</v>
      </c>
      <c r="P172" s="24" t="s">
        <v>1263</v>
      </c>
      <c r="Q172" s="27"/>
      <c r="R172" s="27"/>
      <c r="S172" s="31" t="s">
        <v>1264</v>
      </c>
      <c r="T172" s="8" t="s">
        <v>1265</v>
      </c>
      <c r="U172" s="29" t="s">
        <v>1266</v>
      </c>
      <c r="V172" s="24" t="str">
        <f>iferror(VLOOKUP(A172,'tagging table'!A:G,7,0),"")</f>
        <v>Hot Beverage</v>
      </c>
    </row>
    <row r="173">
      <c r="A173" s="30">
        <v>7.290105360328E12</v>
      </c>
      <c r="B173" s="20" t="s">
        <v>1267</v>
      </c>
      <c r="C173" s="21">
        <v>0.08</v>
      </c>
      <c r="D173" s="21">
        <v>0.195</v>
      </c>
      <c r="E173" s="21">
        <v>0.03</v>
      </c>
      <c r="F173" s="22">
        <v>10.0</v>
      </c>
      <c r="G173" s="23"/>
      <c r="H173" s="24" t="s">
        <v>1217</v>
      </c>
      <c r="I173" s="21" t="s">
        <v>1268</v>
      </c>
      <c r="J173" s="24"/>
      <c r="K173" s="24" t="s">
        <v>1269</v>
      </c>
      <c r="L173" s="20" t="s">
        <v>1270</v>
      </c>
      <c r="M173" s="25" t="s">
        <v>1271</v>
      </c>
      <c r="N173" s="26" t="s">
        <v>28</v>
      </c>
      <c r="O173" s="24" t="s">
        <v>1222</v>
      </c>
      <c r="P173" s="24" t="s">
        <v>1223</v>
      </c>
      <c r="Q173" s="27"/>
      <c r="R173" s="27"/>
      <c r="S173" s="31" t="s">
        <v>1272</v>
      </c>
      <c r="T173" s="8" t="s">
        <v>1273</v>
      </c>
      <c r="U173" s="29" t="s">
        <v>1226</v>
      </c>
      <c r="V173" s="24" t="str">
        <f>iferror(VLOOKUP(A173,'tagging table'!A:G,7,0),"")</f>
        <v>Hot Beverage</v>
      </c>
    </row>
    <row r="174">
      <c r="A174" s="30">
        <v>7.29000017642E12</v>
      </c>
      <c r="B174" s="20" t="s">
        <v>1274</v>
      </c>
      <c r="C174" s="21">
        <v>0.09</v>
      </c>
      <c r="D174" s="21">
        <v>0.174</v>
      </c>
      <c r="E174" s="21">
        <v>0.093</v>
      </c>
      <c r="F174" s="22">
        <v>3.0</v>
      </c>
      <c r="G174" s="23"/>
      <c r="H174" s="24" t="s">
        <v>1217</v>
      </c>
      <c r="I174" s="21" t="s">
        <v>1275</v>
      </c>
      <c r="J174" s="24"/>
      <c r="K174" s="24" t="s">
        <v>1276</v>
      </c>
      <c r="L174" s="20" t="s">
        <v>1277</v>
      </c>
      <c r="M174" s="25" t="s">
        <v>1278</v>
      </c>
      <c r="N174" s="26" t="s">
        <v>37</v>
      </c>
      <c r="O174" s="24" t="s">
        <v>1262</v>
      </c>
      <c r="P174" s="24" t="s">
        <v>1263</v>
      </c>
      <c r="Q174" s="27"/>
      <c r="R174" s="27"/>
      <c r="S174" s="31" t="s">
        <v>1279</v>
      </c>
      <c r="T174" s="8" t="s">
        <v>1280</v>
      </c>
      <c r="U174" s="29" t="e">
        <v>#N/A</v>
      </c>
      <c r="V174" s="21" t="s">
        <v>55</v>
      </c>
    </row>
    <row r="175">
      <c r="A175" s="30">
        <v>7.290000176062E12</v>
      </c>
      <c r="B175" s="20" t="s">
        <v>1281</v>
      </c>
      <c r="C175" s="21">
        <v>0.09999999</v>
      </c>
      <c r="D175" s="21">
        <v>0.15</v>
      </c>
      <c r="E175" s="21">
        <v>0.02</v>
      </c>
      <c r="F175" s="22">
        <v>15.0</v>
      </c>
      <c r="G175" s="23"/>
      <c r="H175" s="24" t="s">
        <v>1217</v>
      </c>
      <c r="I175" s="21" t="s">
        <v>1282</v>
      </c>
      <c r="J175" s="24"/>
      <c r="K175" s="24" t="s">
        <v>1283</v>
      </c>
      <c r="L175" s="20" t="s">
        <v>1284</v>
      </c>
      <c r="M175" s="25" t="s">
        <v>1285</v>
      </c>
      <c r="N175" s="26" t="s">
        <v>37</v>
      </c>
      <c r="O175" s="24" t="s">
        <v>51</v>
      </c>
      <c r="P175" s="24" t="s">
        <v>52</v>
      </c>
      <c r="Q175" s="27"/>
      <c r="R175" s="27"/>
      <c r="S175" s="31" t="s">
        <v>1286</v>
      </c>
      <c r="T175" s="33" t="s">
        <v>1287</v>
      </c>
      <c r="U175" s="29" t="e">
        <v>#N/A</v>
      </c>
      <c r="V175" s="21" t="s">
        <v>1288</v>
      </c>
    </row>
    <row r="176">
      <c r="A176" s="30">
        <v>7.290005201882E12</v>
      </c>
      <c r="B176" s="20" t="s">
        <v>1289</v>
      </c>
      <c r="C176" s="21">
        <v>0.12</v>
      </c>
      <c r="D176" s="21">
        <v>0.18</v>
      </c>
      <c r="E176" s="21">
        <v>0.02</v>
      </c>
      <c r="F176" s="22">
        <v>15.0</v>
      </c>
      <c r="G176" s="23"/>
      <c r="H176" s="24" t="s">
        <v>1217</v>
      </c>
      <c r="I176" s="21" t="s">
        <v>1290</v>
      </c>
      <c r="J176" s="24"/>
      <c r="K176" s="24" t="s">
        <v>1291</v>
      </c>
      <c r="L176" s="20" t="s">
        <v>1292</v>
      </c>
      <c r="M176" s="25" t="s">
        <v>1293</v>
      </c>
      <c r="N176" s="26" t="s">
        <v>37</v>
      </c>
      <c r="O176" s="24" t="s">
        <v>1262</v>
      </c>
      <c r="P176" s="24" t="s">
        <v>1263</v>
      </c>
      <c r="Q176" s="27"/>
      <c r="R176" s="27"/>
      <c r="S176" s="31" t="s">
        <v>1294</v>
      </c>
      <c r="T176" s="8" t="s">
        <v>1295</v>
      </c>
      <c r="U176" s="29" t="e">
        <v>#N/A</v>
      </c>
      <c r="V176" s="21" t="s">
        <v>55</v>
      </c>
    </row>
    <row r="177">
      <c r="A177" s="30">
        <v>7.290106527386E12</v>
      </c>
      <c r="B177" s="20" t="s">
        <v>1296</v>
      </c>
      <c r="C177" s="21">
        <v>0.13</v>
      </c>
      <c r="D177" s="21">
        <v>0.18</v>
      </c>
      <c r="E177" s="21">
        <v>0.03</v>
      </c>
      <c r="F177" s="22">
        <v>10.0</v>
      </c>
      <c r="G177" s="23"/>
      <c r="H177" s="24" t="s">
        <v>1297</v>
      </c>
      <c r="I177" s="21" t="s">
        <v>1298</v>
      </c>
      <c r="J177" s="20" t="s">
        <v>1299</v>
      </c>
      <c r="K177" s="24" t="s">
        <v>1300</v>
      </c>
      <c r="L177" s="20" t="s">
        <v>1301</v>
      </c>
      <c r="M177" s="25" t="s">
        <v>1302</v>
      </c>
      <c r="N177" s="26" t="s">
        <v>28</v>
      </c>
      <c r="O177" s="24" t="s">
        <v>954</v>
      </c>
      <c r="P177" s="24" t="s">
        <v>1303</v>
      </c>
      <c r="Q177" s="27"/>
      <c r="R177" s="27"/>
      <c r="S177" s="28" t="s">
        <v>1304</v>
      </c>
      <c r="T177" s="8" t="s">
        <v>1305</v>
      </c>
      <c r="U177" s="29" t="s">
        <v>1306</v>
      </c>
      <c r="V177" s="24" t="str">
        <f>VLOOKUP(A177,'tagging table'!A:G,7,0)</f>
        <v>Pastry</v>
      </c>
    </row>
    <row r="178">
      <c r="A178" s="30">
        <v>7.290107947497E12</v>
      </c>
      <c r="B178" s="20" t="s">
        <v>1307</v>
      </c>
      <c r="C178" s="21">
        <v>0.135</v>
      </c>
      <c r="D178" s="21">
        <v>0.035</v>
      </c>
      <c r="E178" s="21">
        <v>0.02</v>
      </c>
      <c r="F178" s="22">
        <v>15.0</v>
      </c>
      <c r="G178" s="23"/>
      <c r="H178" s="24" t="s">
        <v>1308</v>
      </c>
      <c r="I178" s="21" t="s">
        <v>1309</v>
      </c>
      <c r="J178" s="24"/>
      <c r="K178" s="24" t="s">
        <v>1310</v>
      </c>
      <c r="L178" s="20" t="s">
        <v>1311</v>
      </c>
      <c r="M178" s="25" t="s">
        <v>1312</v>
      </c>
      <c r="N178" s="26" t="s">
        <v>28</v>
      </c>
      <c r="O178" s="24" t="s">
        <v>320</v>
      </c>
      <c r="P178" s="24" t="s">
        <v>321</v>
      </c>
      <c r="Q178" s="27"/>
      <c r="R178" s="27"/>
      <c r="S178" s="31" t="s">
        <v>1313</v>
      </c>
      <c r="T178" s="33" t="s">
        <v>1314</v>
      </c>
      <c r="U178" s="29" t="s">
        <v>1309</v>
      </c>
      <c r="V178" s="24" t="str">
        <f>VLOOKUP(A178,'tagging table'!A:G,7,0)</f>
        <v>Cashiers</v>
      </c>
    </row>
    <row r="179">
      <c r="A179" s="30">
        <v>7.290107947503E12</v>
      </c>
      <c r="B179" s="20" t="s">
        <v>1315</v>
      </c>
      <c r="C179" s="21">
        <v>0.135</v>
      </c>
      <c r="D179" s="21">
        <v>0.035</v>
      </c>
      <c r="E179" s="21">
        <v>0.02</v>
      </c>
      <c r="F179" s="22">
        <v>15.0</v>
      </c>
      <c r="G179" s="23"/>
      <c r="H179" s="24" t="s">
        <v>1316</v>
      </c>
      <c r="I179" s="21" t="s">
        <v>1309</v>
      </c>
      <c r="J179" s="24"/>
      <c r="K179" s="24" t="s">
        <v>1317</v>
      </c>
      <c r="L179" s="20" t="s">
        <v>1318</v>
      </c>
      <c r="M179" s="25" t="s">
        <v>1319</v>
      </c>
      <c r="N179" s="26" t="s">
        <v>28</v>
      </c>
      <c r="O179" s="24" t="s">
        <v>320</v>
      </c>
      <c r="P179" s="24" t="s">
        <v>321</v>
      </c>
      <c r="Q179" s="27"/>
      <c r="R179" s="27"/>
      <c r="S179" s="31" t="s">
        <v>1320</v>
      </c>
      <c r="T179" s="33" t="s">
        <v>1321</v>
      </c>
      <c r="U179" s="29" t="s">
        <v>1309</v>
      </c>
      <c r="V179" s="24" t="str">
        <f>VLOOKUP(A179,'tagging table'!A:G,7,0)</f>
        <v>Cashiers</v>
      </c>
    </row>
    <row r="180">
      <c r="A180" s="30">
        <v>7.29011056593E12</v>
      </c>
      <c r="B180" s="20" t="s">
        <v>1322</v>
      </c>
      <c r="C180" s="21">
        <v>0.135</v>
      </c>
      <c r="D180" s="21">
        <v>0.035</v>
      </c>
      <c r="E180" s="21">
        <v>0.02</v>
      </c>
      <c r="F180" s="22">
        <v>15.0</v>
      </c>
      <c r="G180" s="23"/>
      <c r="H180" s="24" t="s">
        <v>1316</v>
      </c>
      <c r="I180" s="21" t="s">
        <v>1309</v>
      </c>
      <c r="J180" s="24"/>
      <c r="K180" s="24" t="s">
        <v>1323</v>
      </c>
      <c r="L180" s="20" t="s">
        <v>1324</v>
      </c>
      <c r="M180" s="25" t="s">
        <v>1325</v>
      </c>
      <c r="N180" s="26" t="s">
        <v>28</v>
      </c>
      <c r="O180" s="24" t="s">
        <v>320</v>
      </c>
      <c r="P180" s="24" t="s">
        <v>321</v>
      </c>
      <c r="Q180" s="27"/>
      <c r="R180" s="27"/>
      <c r="S180" s="31" t="s">
        <v>1326</v>
      </c>
      <c r="T180" s="33" t="s">
        <v>1327</v>
      </c>
      <c r="U180" s="29" t="s">
        <v>1309</v>
      </c>
      <c r="V180" s="24" t="str">
        <f>VLOOKUP(A180,'tagging table'!A:G,7,0)</f>
        <v>Cashiers</v>
      </c>
    </row>
    <row r="181">
      <c r="A181" s="30">
        <v>41858.0</v>
      </c>
      <c r="B181" s="20" t="s">
        <v>1328</v>
      </c>
      <c r="C181" s="21">
        <v>0.07</v>
      </c>
      <c r="D181" s="21">
        <v>0.075</v>
      </c>
      <c r="E181" s="21">
        <v>0.075</v>
      </c>
      <c r="F181" s="22">
        <v>4.0</v>
      </c>
      <c r="G181" s="23"/>
      <c r="H181" s="32" t="s">
        <v>695</v>
      </c>
      <c r="I181" s="21" t="s">
        <v>1329</v>
      </c>
      <c r="J181" s="24"/>
      <c r="K181" s="24" t="s">
        <v>1330</v>
      </c>
      <c r="L181" s="20" t="s">
        <v>1331</v>
      </c>
      <c r="M181" s="25" t="s">
        <v>1332</v>
      </c>
      <c r="N181" s="26" t="s">
        <v>28</v>
      </c>
      <c r="O181" s="24" t="s">
        <v>975</v>
      </c>
      <c r="P181" s="24" t="s">
        <v>976</v>
      </c>
      <c r="Q181" s="27"/>
      <c r="R181" s="27"/>
      <c r="S181" s="28" t="s">
        <v>1333</v>
      </c>
      <c r="T181" s="8" t="s">
        <v>1334</v>
      </c>
      <c r="U181" s="29" t="s">
        <v>1329</v>
      </c>
      <c r="V181" s="24" t="str">
        <f>iferror(VLOOKUP(A181,'tagging table'!A:G,7,0),"")</f>
        <v>Dairy</v>
      </c>
    </row>
    <row r="182">
      <c r="A182" s="30">
        <v>8.410793282934E12</v>
      </c>
      <c r="B182" s="20" t="s">
        <v>1335</v>
      </c>
      <c r="C182" s="21">
        <v>0.06</v>
      </c>
      <c r="D182" s="21">
        <v>0.228</v>
      </c>
      <c r="E182" s="21">
        <v>0.06</v>
      </c>
      <c r="F182" s="22">
        <v>5.0</v>
      </c>
      <c r="G182" s="23"/>
      <c r="H182" s="24" t="s">
        <v>1336</v>
      </c>
      <c r="I182" s="21" t="s">
        <v>1337</v>
      </c>
      <c r="J182" s="20" t="s">
        <v>532</v>
      </c>
      <c r="K182" s="24" t="s">
        <v>1338</v>
      </c>
      <c r="L182" s="20" t="s">
        <v>1339</v>
      </c>
      <c r="M182" s="25" t="s">
        <v>1340</v>
      </c>
      <c r="N182" s="26" t="s">
        <v>28</v>
      </c>
      <c r="O182" s="24" t="s">
        <v>365</v>
      </c>
      <c r="P182" s="24" t="s">
        <v>536</v>
      </c>
      <c r="Q182" s="27"/>
      <c r="R182" s="27"/>
      <c r="S182" s="28" t="s">
        <v>1341</v>
      </c>
      <c r="T182" s="8" t="s">
        <v>1342</v>
      </c>
      <c r="U182" s="29" t="s">
        <v>1343</v>
      </c>
      <c r="V182" s="24" t="str">
        <f>VLOOKUP(A182,'tagging table'!A:G,7,0)</f>
        <v>Drinks</v>
      </c>
    </row>
    <row r="183">
      <c r="A183" s="30">
        <v>7.290005605901E12</v>
      </c>
      <c r="B183" s="20" t="s">
        <v>1344</v>
      </c>
      <c r="C183" s="21">
        <v>0.095</v>
      </c>
      <c r="D183" s="21">
        <v>0.333</v>
      </c>
      <c r="E183" s="21">
        <v>0.095</v>
      </c>
      <c r="F183" s="22">
        <v>3.0</v>
      </c>
      <c r="G183" s="23"/>
      <c r="H183" s="24" t="s">
        <v>1345</v>
      </c>
      <c r="I183" s="21" t="s">
        <v>1346</v>
      </c>
      <c r="J183" s="20" t="s">
        <v>1347</v>
      </c>
      <c r="K183" s="24" t="s">
        <v>1348</v>
      </c>
      <c r="L183" s="20" t="s">
        <v>1349</v>
      </c>
      <c r="M183" s="25" t="s">
        <v>1350</v>
      </c>
      <c r="N183" s="26" t="s">
        <v>37</v>
      </c>
      <c r="O183" s="24" t="s">
        <v>1351</v>
      </c>
      <c r="P183" s="24" t="s">
        <v>1352</v>
      </c>
      <c r="Q183" s="27"/>
      <c r="R183" s="27"/>
      <c r="S183" s="28" t="s">
        <v>1353</v>
      </c>
      <c r="T183" s="8" t="s">
        <v>1354</v>
      </c>
      <c r="U183" s="29" t="e">
        <v>#N/A</v>
      </c>
      <c r="V183" s="21" t="s">
        <v>573</v>
      </c>
    </row>
    <row r="184">
      <c r="A184" s="30">
        <v>7.290005605895E12</v>
      </c>
      <c r="B184" s="20" t="s">
        <v>1355</v>
      </c>
      <c r="C184" s="21">
        <v>0.065</v>
      </c>
      <c r="D184" s="21">
        <v>0.24</v>
      </c>
      <c r="E184" s="21">
        <v>0.065</v>
      </c>
      <c r="F184" s="22">
        <v>5.0</v>
      </c>
      <c r="G184" s="23"/>
      <c r="H184" s="24" t="s">
        <v>1345</v>
      </c>
      <c r="I184" s="21" t="s">
        <v>1346</v>
      </c>
      <c r="J184" s="20" t="s">
        <v>1347</v>
      </c>
      <c r="K184" s="24" t="s">
        <v>1356</v>
      </c>
      <c r="L184" s="20" t="s">
        <v>1357</v>
      </c>
      <c r="M184" s="25" t="s">
        <v>1358</v>
      </c>
      <c r="N184" s="26" t="s">
        <v>37</v>
      </c>
      <c r="O184" s="24" t="s">
        <v>1351</v>
      </c>
      <c r="P184" s="24" t="s">
        <v>1359</v>
      </c>
      <c r="Q184" s="27"/>
      <c r="R184" s="27"/>
      <c r="S184" s="28" t="s">
        <v>1360</v>
      </c>
      <c r="T184" s="8" t="s">
        <v>1361</v>
      </c>
      <c r="U184" s="29" t="e">
        <v>#N/A</v>
      </c>
      <c r="V184" s="21" t="s">
        <v>573</v>
      </c>
    </row>
    <row r="185">
      <c r="A185" s="30">
        <v>7.290001594179E12</v>
      </c>
      <c r="B185" s="20" t="s">
        <v>1362</v>
      </c>
      <c r="C185" s="21">
        <v>0.065</v>
      </c>
      <c r="D185" s="21">
        <v>0.24</v>
      </c>
      <c r="E185" s="21">
        <v>0.065</v>
      </c>
      <c r="F185" s="22">
        <v>5.0</v>
      </c>
      <c r="G185" s="23"/>
      <c r="H185" s="24" t="s">
        <v>1345</v>
      </c>
      <c r="I185" s="21" t="s">
        <v>1346</v>
      </c>
      <c r="J185" s="20" t="s">
        <v>1347</v>
      </c>
      <c r="K185" s="24" t="s">
        <v>1363</v>
      </c>
      <c r="L185" s="20" t="s">
        <v>1364</v>
      </c>
      <c r="M185" s="25" t="s">
        <v>1365</v>
      </c>
      <c r="N185" s="26" t="s">
        <v>37</v>
      </c>
      <c r="O185" s="24" t="s">
        <v>1351</v>
      </c>
      <c r="P185" s="24" t="s">
        <v>1359</v>
      </c>
      <c r="Q185" s="27"/>
      <c r="R185" s="27"/>
      <c r="S185" s="28" t="s">
        <v>1366</v>
      </c>
      <c r="T185" s="8" t="s">
        <v>1367</v>
      </c>
      <c r="U185" s="29" t="e">
        <v>#N/A</v>
      </c>
      <c r="V185" s="21" t="s">
        <v>573</v>
      </c>
    </row>
    <row r="186">
      <c r="A186" s="30">
        <v>7.290011018443E12</v>
      </c>
      <c r="B186" s="20" t="s">
        <v>1368</v>
      </c>
      <c r="C186" s="21">
        <v>0.057</v>
      </c>
      <c r="D186" s="21">
        <v>0.14</v>
      </c>
      <c r="E186" s="21">
        <v>0.057</v>
      </c>
      <c r="F186" s="22">
        <v>5.0</v>
      </c>
      <c r="G186" s="23"/>
      <c r="H186" s="24" t="s">
        <v>1345</v>
      </c>
      <c r="I186" s="21" t="s">
        <v>1346</v>
      </c>
      <c r="J186" s="20" t="s">
        <v>1347</v>
      </c>
      <c r="K186" s="24" t="s">
        <v>1369</v>
      </c>
      <c r="L186" s="20" t="s">
        <v>1370</v>
      </c>
      <c r="M186" s="25" t="s">
        <v>1371</v>
      </c>
      <c r="N186" s="26" t="s">
        <v>28</v>
      </c>
      <c r="O186" s="24" t="s">
        <v>1351</v>
      </c>
      <c r="P186" s="24" t="s">
        <v>1359</v>
      </c>
      <c r="Q186" s="27"/>
      <c r="R186" s="27"/>
      <c r="S186" s="28" t="s">
        <v>1372</v>
      </c>
      <c r="T186" s="8" t="s">
        <v>1373</v>
      </c>
      <c r="U186" s="29" t="s">
        <v>1346</v>
      </c>
      <c r="V186" s="24" t="str">
        <f>iferror(VLOOKUP(A186,'tagging table'!A:G,7,0),"")</f>
        <v>Drinks</v>
      </c>
    </row>
    <row r="187">
      <c r="A187" s="30">
        <v>7.290003667109E12</v>
      </c>
      <c r="B187" s="20" t="s">
        <v>1374</v>
      </c>
      <c r="C187" s="21">
        <v>0.095</v>
      </c>
      <c r="D187" s="21">
        <v>0.333</v>
      </c>
      <c r="E187" s="21">
        <v>0.095</v>
      </c>
      <c r="F187" s="22">
        <v>3.0</v>
      </c>
      <c r="G187" s="23"/>
      <c r="H187" s="24" t="s">
        <v>1345</v>
      </c>
      <c r="I187" s="21" t="s">
        <v>1346</v>
      </c>
      <c r="J187" s="20" t="s">
        <v>1347</v>
      </c>
      <c r="K187" s="24" t="s">
        <v>1375</v>
      </c>
      <c r="L187" s="20" t="s">
        <v>1376</v>
      </c>
      <c r="M187" s="25" t="s">
        <v>1377</v>
      </c>
      <c r="N187" s="26" t="s">
        <v>37</v>
      </c>
      <c r="O187" s="24" t="s">
        <v>1351</v>
      </c>
      <c r="P187" s="24" t="s">
        <v>1352</v>
      </c>
      <c r="Q187" s="27"/>
      <c r="R187" s="27"/>
      <c r="S187" s="28" t="s">
        <v>1378</v>
      </c>
      <c r="T187" s="8" t="s">
        <v>1379</v>
      </c>
      <c r="U187" s="29" t="e">
        <v>#N/A</v>
      </c>
      <c r="V187" s="21" t="s">
        <v>573</v>
      </c>
    </row>
    <row r="188">
      <c r="A188" s="30">
        <v>8.006290803514E12</v>
      </c>
      <c r="B188" s="20" t="s">
        <v>1380</v>
      </c>
      <c r="C188" s="21">
        <v>0.055</v>
      </c>
      <c r="D188" s="21">
        <v>0.21</v>
      </c>
      <c r="E188" s="21">
        <v>0.055</v>
      </c>
      <c r="F188" s="22">
        <v>5.0</v>
      </c>
      <c r="G188" s="23"/>
      <c r="H188" s="24" t="s">
        <v>1381</v>
      </c>
      <c r="I188" s="21" t="s">
        <v>1382</v>
      </c>
      <c r="J188" s="20" t="s">
        <v>508</v>
      </c>
      <c r="K188" s="20" t="s">
        <v>1383</v>
      </c>
      <c r="L188" s="20" t="s">
        <v>1383</v>
      </c>
      <c r="M188" s="25" t="s">
        <v>1384</v>
      </c>
      <c r="N188" s="26" t="s">
        <v>28</v>
      </c>
      <c r="O188" s="24" t="s">
        <v>1385</v>
      </c>
      <c r="P188" s="24" t="s">
        <v>1386</v>
      </c>
      <c r="Q188" s="27"/>
      <c r="R188" s="27"/>
      <c r="S188" s="28" t="s">
        <v>1387</v>
      </c>
      <c r="T188" s="8" t="s">
        <v>1388</v>
      </c>
      <c r="U188" s="29" t="s">
        <v>1382</v>
      </c>
      <c r="V188" s="24" t="str">
        <f>iferror(VLOOKUP(A188,'tagging table'!A:G,7,0),"")</f>
        <v>Drinks</v>
      </c>
    </row>
    <row r="189">
      <c r="A189" s="30">
        <v>7.29011296566E12</v>
      </c>
      <c r="B189" s="20" t="s">
        <v>1389</v>
      </c>
      <c r="C189" s="21">
        <v>0.15</v>
      </c>
      <c r="D189" s="21">
        <v>0.175</v>
      </c>
      <c r="E189" s="21">
        <v>0.03</v>
      </c>
      <c r="F189" s="22">
        <v>10.0</v>
      </c>
      <c r="G189" s="23"/>
      <c r="H189" s="36" t="s">
        <v>1390</v>
      </c>
      <c r="I189" s="21" t="s">
        <v>1391</v>
      </c>
      <c r="J189" s="24"/>
      <c r="K189" s="24" t="s">
        <v>1392</v>
      </c>
      <c r="L189" s="20" t="s">
        <v>1393</v>
      </c>
      <c r="M189" s="25" t="s">
        <v>1394</v>
      </c>
      <c r="N189" s="26" t="s">
        <v>28</v>
      </c>
      <c r="O189" s="24" t="s">
        <v>109</v>
      </c>
      <c r="P189" s="24" t="s">
        <v>1395</v>
      </c>
      <c r="Q189" s="27"/>
      <c r="R189" s="27"/>
      <c r="S189" s="28" t="s">
        <v>1396</v>
      </c>
      <c r="T189" s="8" t="s">
        <v>1394</v>
      </c>
      <c r="U189" s="29" t="s">
        <v>1391</v>
      </c>
      <c r="V189" s="21" t="s">
        <v>113</v>
      </c>
    </row>
    <row r="190">
      <c r="A190" s="30">
        <v>7.290112965707E12</v>
      </c>
      <c r="B190" s="20" t="s">
        <v>1397</v>
      </c>
      <c r="C190" s="21">
        <v>0.15</v>
      </c>
      <c r="D190" s="21">
        <v>0.175</v>
      </c>
      <c r="E190" s="21">
        <v>0.03</v>
      </c>
      <c r="F190" s="22">
        <v>10.0</v>
      </c>
      <c r="G190" s="23"/>
      <c r="H190" s="36" t="s">
        <v>1390</v>
      </c>
      <c r="I190" s="21" t="s">
        <v>1391</v>
      </c>
      <c r="J190" s="24"/>
      <c r="K190" s="24" t="s">
        <v>1398</v>
      </c>
      <c r="L190" s="20" t="s">
        <v>1399</v>
      </c>
      <c r="M190" s="25" t="s">
        <v>1400</v>
      </c>
      <c r="N190" s="26" t="s">
        <v>28</v>
      </c>
      <c r="O190" s="24" t="s">
        <v>109</v>
      </c>
      <c r="P190" s="24" t="s">
        <v>1395</v>
      </c>
      <c r="Q190" s="27"/>
      <c r="R190" s="27"/>
      <c r="S190" s="28" t="s">
        <v>1401</v>
      </c>
      <c r="T190" s="8" t="s">
        <v>1400</v>
      </c>
      <c r="U190" s="29" t="s">
        <v>1391</v>
      </c>
      <c r="V190" s="21" t="s">
        <v>113</v>
      </c>
    </row>
    <row r="191">
      <c r="A191" s="30">
        <v>7.290112965684E12</v>
      </c>
      <c r="B191" s="20" t="s">
        <v>1402</v>
      </c>
      <c r="C191" s="21">
        <v>0.15</v>
      </c>
      <c r="D191" s="21">
        <v>0.175</v>
      </c>
      <c r="E191" s="21">
        <v>0.03</v>
      </c>
      <c r="F191" s="22">
        <v>10.0</v>
      </c>
      <c r="G191" s="23"/>
      <c r="H191" s="36" t="s">
        <v>1390</v>
      </c>
      <c r="I191" s="21" t="s">
        <v>1391</v>
      </c>
      <c r="J191" s="24"/>
      <c r="K191" s="24" t="s">
        <v>1403</v>
      </c>
      <c r="L191" s="20" t="s">
        <v>1404</v>
      </c>
      <c r="M191" s="25" t="s">
        <v>1405</v>
      </c>
      <c r="N191" s="26" t="s">
        <v>28</v>
      </c>
      <c r="O191" s="24" t="s">
        <v>109</v>
      </c>
      <c r="P191" s="24" t="s">
        <v>1395</v>
      </c>
      <c r="Q191" s="27"/>
      <c r="R191" s="27"/>
      <c r="S191" s="28" t="s">
        <v>1406</v>
      </c>
      <c r="T191" s="8" t="s">
        <v>1405</v>
      </c>
      <c r="U191" s="29" t="s">
        <v>1391</v>
      </c>
      <c r="V191" s="21" t="s">
        <v>113</v>
      </c>
    </row>
    <row r="192">
      <c r="A192" s="30">
        <v>7.290018440193E12</v>
      </c>
      <c r="B192" s="20" t="s">
        <v>1407</v>
      </c>
      <c r="C192" s="21">
        <v>0.18</v>
      </c>
      <c r="D192" s="21">
        <v>0.215</v>
      </c>
      <c r="E192" s="21">
        <v>0.04</v>
      </c>
      <c r="F192" s="22">
        <v>8.0</v>
      </c>
      <c r="G192" s="23"/>
      <c r="H192" s="24" t="s">
        <v>1408</v>
      </c>
      <c r="I192" s="21" t="s">
        <v>1409</v>
      </c>
      <c r="J192" s="24"/>
      <c r="K192" s="24" t="s">
        <v>1410</v>
      </c>
      <c r="L192" s="20" t="s">
        <v>1411</v>
      </c>
      <c r="M192" s="25" t="s">
        <v>1412</v>
      </c>
      <c r="N192" s="26" t="s">
        <v>28</v>
      </c>
      <c r="O192" s="24" t="s">
        <v>1413</v>
      </c>
      <c r="P192" s="24" t="s">
        <v>1414</v>
      </c>
      <c r="Q192" s="27"/>
      <c r="R192" s="27"/>
      <c r="S192" s="28" t="s">
        <v>1415</v>
      </c>
      <c r="T192" s="8" t="s">
        <v>1412</v>
      </c>
      <c r="U192" s="29" t="s">
        <v>1416</v>
      </c>
      <c r="V192" s="21" t="s">
        <v>32</v>
      </c>
    </row>
    <row r="193">
      <c r="A193" s="30">
        <v>7.290017513775E12</v>
      </c>
      <c r="B193" s="20" t="s">
        <v>1417</v>
      </c>
      <c r="C193" s="21">
        <v>0.175</v>
      </c>
      <c r="D193" s="21">
        <v>0.215</v>
      </c>
      <c r="E193" s="21">
        <v>0.04</v>
      </c>
      <c r="F193" s="22">
        <v>8.0</v>
      </c>
      <c r="G193" s="23"/>
      <c r="H193" s="24" t="s">
        <v>1408</v>
      </c>
      <c r="I193" s="21" t="s">
        <v>1409</v>
      </c>
      <c r="J193" s="24"/>
      <c r="K193" s="24" t="s">
        <v>1418</v>
      </c>
      <c r="L193" s="20" t="s">
        <v>1419</v>
      </c>
      <c r="M193" s="25" t="s">
        <v>1420</v>
      </c>
      <c r="N193" s="26" t="s">
        <v>28</v>
      </c>
      <c r="O193" s="24" t="s">
        <v>1413</v>
      </c>
      <c r="P193" s="24" t="s">
        <v>1414</v>
      </c>
      <c r="Q193" s="27"/>
      <c r="R193" s="27"/>
      <c r="S193" s="28" t="s">
        <v>1421</v>
      </c>
      <c r="T193" s="8" t="s">
        <v>1420</v>
      </c>
      <c r="U193" s="29" t="s">
        <v>1416</v>
      </c>
      <c r="V193" s="21" t="s">
        <v>32</v>
      </c>
    </row>
    <row r="194">
      <c r="A194" s="30">
        <v>7.290018440209E12</v>
      </c>
      <c r="B194" s="20" t="s">
        <v>1422</v>
      </c>
      <c r="C194" s="21">
        <v>0.18</v>
      </c>
      <c r="D194" s="21">
        <v>0.215</v>
      </c>
      <c r="E194" s="21">
        <v>0.04</v>
      </c>
      <c r="F194" s="22">
        <v>8.0</v>
      </c>
      <c r="G194" s="23"/>
      <c r="H194" s="24" t="s">
        <v>1408</v>
      </c>
      <c r="I194" s="21" t="s">
        <v>1409</v>
      </c>
      <c r="J194" s="24"/>
      <c r="K194" s="24" t="s">
        <v>1423</v>
      </c>
      <c r="L194" s="20" t="s">
        <v>1424</v>
      </c>
      <c r="M194" s="25" t="s">
        <v>1425</v>
      </c>
      <c r="N194" s="26" t="s">
        <v>28</v>
      </c>
      <c r="O194" s="24" t="s">
        <v>1413</v>
      </c>
      <c r="P194" s="24" t="s">
        <v>1414</v>
      </c>
      <c r="Q194" s="27"/>
      <c r="R194" s="27"/>
      <c r="S194" s="28" t="s">
        <v>1426</v>
      </c>
      <c r="T194" s="8" t="s">
        <v>1425</v>
      </c>
      <c r="U194" s="29" t="s">
        <v>1416</v>
      </c>
      <c r="V194" s="21" t="s">
        <v>32</v>
      </c>
    </row>
    <row r="195">
      <c r="A195" s="30">
        <v>7.290112349354E12</v>
      </c>
      <c r="B195" s="20" t="s">
        <v>1427</v>
      </c>
      <c r="C195" s="21">
        <v>0.06</v>
      </c>
      <c r="D195" s="21">
        <v>0.06</v>
      </c>
      <c r="E195" s="21">
        <v>0.015</v>
      </c>
      <c r="F195" s="22">
        <v>20.0</v>
      </c>
      <c r="G195" s="23"/>
      <c r="H195" s="24" t="s">
        <v>1428</v>
      </c>
      <c r="I195" s="21" t="s">
        <v>1429</v>
      </c>
      <c r="J195" s="24"/>
      <c r="K195" s="24" t="s">
        <v>1430</v>
      </c>
      <c r="L195" s="20" t="s">
        <v>1431</v>
      </c>
      <c r="M195" s="25" t="s">
        <v>1432</v>
      </c>
      <c r="N195" s="26" t="s">
        <v>28</v>
      </c>
      <c r="O195" s="24" t="s">
        <v>1433</v>
      </c>
      <c r="P195" s="24" t="s">
        <v>1434</v>
      </c>
      <c r="Q195" s="27"/>
      <c r="R195" s="27"/>
      <c r="S195" s="28" t="s">
        <v>1435</v>
      </c>
      <c r="T195" s="8" t="s">
        <v>1436</v>
      </c>
      <c r="U195" s="29" t="s">
        <v>1437</v>
      </c>
      <c r="V195" s="24" t="str">
        <f>iferror(VLOOKUP(A195,'tagging table'!A:G,7,0),"")</f>
        <v>Cashiers</v>
      </c>
    </row>
    <row r="196">
      <c r="A196" s="30">
        <v>7.290112349378E12</v>
      </c>
      <c r="B196" s="20" t="s">
        <v>1438</v>
      </c>
      <c r="C196" s="21">
        <v>0.06</v>
      </c>
      <c r="D196" s="21">
        <v>0.06</v>
      </c>
      <c r="E196" s="21">
        <v>0.015</v>
      </c>
      <c r="F196" s="22">
        <v>20.0</v>
      </c>
      <c r="G196" s="23"/>
      <c r="H196" s="24" t="s">
        <v>1428</v>
      </c>
      <c r="I196" s="21" t="s">
        <v>1429</v>
      </c>
      <c r="J196" s="24"/>
      <c r="K196" s="24" t="s">
        <v>1439</v>
      </c>
      <c r="L196" s="20" t="s">
        <v>1440</v>
      </c>
      <c r="M196" s="25" t="s">
        <v>1441</v>
      </c>
      <c r="N196" s="26" t="s">
        <v>28</v>
      </c>
      <c r="O196" s="24" t="s">
        <v>1433</v>
      </c>
      <c r="P196" s="24" t="s">
        <v>1434</v>
      </c>
      <c r="Q196" s="27"/>
      <c r="R196" s="27"/>
      <c r="S196" s="28" t="s">
        <v>1442</v>
      </c>
      <c r="T196" s="8" t="s">
        <v>1443</v>
      </c>
      <c r="U196" s="29" t="s">
        <v>1437</v>
      </c>
      <c r="V196" s="24" t="str">
        <f>iferror(VLOOKUP(A196,'tagging table'!A:G,7,0),"")</f>
        <v>Cashiers</v>
      </c>
    </row>
    <row r="197">
      <c r="A197" s="30">
        <v>6.928542902795E12</v>
      </c>
      <c r="B197" s="20" t="s">
        <v>1444</v>
      </c>
      <c r="C197" s="21">
        <v>0.08</v>
      </c>
      <c r="D197" s="21">
        <v>0.08</v>
      </c>
      <c r="E197" s="21">
        <v>0.01</v>
      </c>
      <c r="F197" s="22">
        <v>30.0</v>
      </c>
      <c r="G197" s="23"/>
      <c r="H197" s="24" t="s">
        <v>1428</v>
      </c>
      <c r="I197" s="21" t="s">
        <v>1445</v>
      </c>
      <c r="J197" s="21" t="s">
        <v>1446</v>
      </c>
      <c r="K197" s="24" t="s">
        <v>1447</v>
      </c>
      <c r="L197" s="20" t="s">
        <v>1448</v>
      </c>
      <c r="M197" s="25" t="s">
        <v>1449</v>
      </c>
      <c r="N197" s="26" t="s">
        <v>28</v>
      </c>
      <c r="O197" s="24" t="s">
        <v>1433</v>
      </c>
      <c r="P197" s="24" t="s">
        <v>1450</v>
      </c>
      <c r="Q197" s="27"/>
      <c r="R197" s="27"/>
      <c r="S197" s="28" t="s">
        <v>1451</v>
      </c>
      <c r="T197" s="8" t="s">
        <v>1452</v>
      </c>
      <c r="U197" s="29" t="s">
        <v>1445</v>
      </c>
      <c r="V197" s="24" t="str">
        <f>iferror(VLOOKUP(A197,'tagging table'!A:G,7,0),"")</f>
        <v>Sweets</v>
      </c>
    </row>
    <row r="198">
      <c r="A198" s="30">
        <v>6.928542902818E12</v>
      </c>
      <c r="B198" s="20" t="s">
        <v>1453</v>
      </c>
      <c r="C198" s="21">
        <v>0.08</v>
      </c>
      <c r="D198" s="21">
        <v>0.08</v>
      </c>
      <c r="E198" s="21">
        <v>0.01</v>
      </c>
      <c r="F198" s="22">
        <v>30.0</v>
      </c>
      <c r="G198" s="23"/>
      <c r="H198" s="24" t="s">
        <v>1428</v>
      </c>
      <c r="I198" s="21" t="s">
        <v>1445</v>
      </c>
      <c r="J198" s="21" t="s">
        <v>1446</v>
      </c>
      <c r="K198" s="24" t="s">
        <v>1454</v>
      </c>
      <c r="L198" s="20" t="s">
        <v>1455</v>
      </c>
      <c r="M198" s="25" t="s">
        <v>1456</v>
      </c>
      <c r="N198" s="26" t="s">
        <v>28</v>
      </c>
      <c r="O198" s="24" t="s">
        <v>1433</v>
      </c>
      <c r="P198" s="24" t="s">
        <v>1450</v>
      </c>
      <c r="Q198" s="27"/>
      <c r="R198" s="27"/>
      <c r="S198" s="28" t="s">
        <v>1457</v>
      </c>
      <c r="T198" s="8" t="s">
        <v>1458</v>
      </c>
      <c r="U198" s="29" t="s">
        <v>1445</v>
      </c>
      <c r="V198" s="24" t="str">
        <f>iferror(VLOOKUP(A198,'tagging table'!A:G,7,0),"")</f>
        <v>Sweets</v>
      </c>
    </row>
    <row r="199">
      <c r="A199" s="30">
        <v>6.928542902801E12</v>
      </c>
      <c r="B199" s="20" t="s">
        <v>1459</v>
      </c>
      <c r="C199" s="21">
        <v>0.08</v>
      </c>
      <c r="D199" s="21">
        <v>0.08</v>
      </c>
      <c r="E199" s="21">
        <v>0.01</v>
      </c>
      <c r="F199" s="22">
        <v>30.0</v>
      </c>
      <c r="G199" s="23"/>
      <c r="H199" s="24" t="s">
        <v>1428</v>
      </c>
      <c r="I199" s="21" t="s">
        <v>1445</v>
      </c>
      <c r="J199" s="21" t="s">
        <v>1446</v>
      </c>
      <c r="K199" s="24" t="s">
        <v>1460</v>
      </c>
      <c r="L199" s="20" t="s">
        <v>1461</v>
      </c>
      <c r="M199" s="25" t="s">
        <v>1462</v>
      </c>
      <c r="N199" s="26" t="s">
        <v>28</v>
      </c>
      <c r="O199" s="24" t="s">
        <v>1433</v>
      </c>
      <c r="P199" s="24" t="s">
        <v>1450</v>
      </c>
      <c r="Q199" s="27"/>
      <c r="R199" s="27"/>
      <c r="S199" s="28" t="s">
        <v>1463</v>
      </c>
      <c r="T199" s="8" t="s">
        <v>1464</v>
      </c>
      <c r="U199" s="29" t="s">
        <v>1445</v>
      </c>
      <c r="V199" s="24" t="str">
        <f>iferror(VLOOKUP(A199,'tagging table'!A:G,7,0),"")</f>
        <v>Sweets</v>
      </c>
    </row>
    <row r="200">
      <c r="A200" s="30">
        <v>7.290112349347E12</v>
      </c>
      <c r="B200" s="20" t="s">
        <v>1465</v>
      </c>
      <c r="C200" s="21">
        <v>0.06</v>
      </c>
      <c r="D200" s="21">
        <v>0.06</v>
      </c>
      <c r="E200" s="21">
        <v>0.015</v>
      </c>
      <c r="F200" s="22">
        <v>20.0</v>
      </c>
      <c r="G200" s="23"/>
      <c r="H200" s="24" t="s">
        <v>1428</v>
      </c>
      <c r="I200" s="21" t="s">
        <v>1429</v>
      </c>
      <c r="J200" s="24"/>
      <c r="K200" s="24" t="s">
        <v>1466</v>
      </c>
      <c r="L200" s="20" t="s">
        <v>1467</v>
      </c>
      <c r="M200" s="25" t="s">
        <v>1468</v>
      </c>
      <c r="N200" s="26" t="s">
        <v>28</v>
      </c>
      <c r="O200" s="24" t="s">
        <v>1433</v>
      </c>
      <c r="P200" s="24" t="s">
        <v>1434</v>
      </c>
      <c r="Q200" s="27"/>
      <c r="R200" s="27"/>
      <c r="S200" s="28" t="s">
        <v>1469</v>
      </c>
      <c r="T200" s="8" t="s">
        <v>1470</v>
      </c>
      <c r="U200" s="29" t="s">
        <v>1437</v>
      </c>
      <c r="V200" s="24" t="str">
        <f>iferror(VLOOKUP(A200,'tagging table'!A:G,7,0),"")</f>
        <v>Cashiers</v>
      </c>
    </row>
    <row r="201">
      <c r="A201" s="30">
        <v>7.616500646087E12</v>
      </c>
      <c r="B201" s="20" t="s">
        <v>1471</v>
      </c>
      <c r="C201" s="21">
        <v>0.097</v>
      </c>
      <c r="D201" s="21">
        <v>0.18</v>
      </c>
      <c r="E201" s="21">
        <v>0.008</v>
      </c>
      <c r="F201" s="22">
        <v>38.0</v>
      </c>
      <c r="G201" s="23"/>
      <c r="H201" s="24" t="s">
        <v>1472</v>
      </c>
      <c r="I201" s="21" t="s">
        <v>1473</v>
      </c>
      <c r="J201" s="21" t="s">
        <v>622</v>
      </c>
      <c r="K201" s="24" t="s">
        <v>1474</v>
      </c>
      <c r="L201" s="20" t="s">
        <v>1475</v>
      </c>
      <c r="M201" s="25" t="s">
        <v>1476</v>
      </c>
      <c r="N201" s="26" t="s">
        <v>28</v>
      </c>
      <c r="O201" s="24" t="s">
        <v>626</v>
      </c>
      <c r="P201" s="24" t="s">
        <v>649</v>
      </c>
      <c r="Q201" s="27"/>
      <c r="R201" s="27"/>
      <c r="S201" s="28" t="s">
        <v>1477</v>
      </c>
      <c r="T201" s="8" t="s">
        <v>1478</v>
      </c>
      <c r="U201" s="29" t="s">
        <v>1479</v>
      </c>
      <c r="V201" s="24" t="str">
        <f>iferror(VLOOKUP(A201,'tagging table'!A:G,7,0),"")</f>
        <v>Sweets</v>
      </c>
    </row>
    <row r="202">
      <c r="A202" s="30">
        <v>7.616500553484E12</v>
      </c>
      <c r="B202" s="20" t="s">
        <v>1480</v>
      </c>
      <c r="C202" s="21">
        <v>0.097</v>
      </c>
      <c r="D202" s="21">
        <v>0.18</v>
      </c>
      <c r="E202" s="21">
        <v>0.008</v>
      </c>
      <c r="F202" s="22">
        <v>38.0</v>
      </c>
      <c r="G202" s="23"/>
      <c r="H202" s="24" t="s">
        <v>1472</v>
      </c>
      <c r="I202" s="21" t="s">
        <v>1473</v>
      </c>
      <c r="J202" s="21" t="s">
        <v>622</v>
      </c>
      <c r="K202" s="24" t="s">
        <v>1481</v>
      </c>
      <c r="L202" s="20" t="s">
        <v>1482</v>
      </c>
      <c r="M202" s="25" t="s">
        <v>1483</v>
      </c>
      <c r="N202" s="26" t="s">
        <v>28</v>
      </c>
      <c r="O202" s="24" t="s">
        <v>1484</v>
      </c>
      <c r="P202" s="24" t="s">
        <v>1485</v>
      </c>
      <c r="Q202" s="27"/>
      <c r="R202" s="27"/>
      <c r="S202" s="28" t="s">
        <v>1486</v>
      </c>
      <c r="T202" s="8" t="s">
        <v>1487</v>
      </c>
      <c r="U202" s="29" t="s">
        <v>1479</v>
      </c>
      <c r="V202" s="24" t="str">
        <f>iferror(VLOOKUP(A202,'tagging table'!A:G,7,0),"")</f>
        <v>Sweets</v>
      </c>
    </row>
    <row r="203">
      <c r="A203" s="30">
        <v>7.616500647251E12</v>
      </c>
      <c r="B203" s="20" t="s">
        <v>1488</v>
      </c>
      <c r="C203" s="21">
        <v>0.093</v>
      </c>
      <c r="D203" s="21">
        <v>0.175</v>
      </c>
      <c r="E203" s="21">
        <v>0.015</v>
      </c>
      <c r="F203" s="22">
        <v>20.0</v>
      </c>
      <c r="G203" s="23"/>
      <c r="H203" s="24" t="s">
        <v>1472</v>
      </c>
      <c r="I203" s="21" t="s">
        <v>1473</v>
      </c>
      <c r="J203" s="21" t="s">
        <v>622</v>
      </c>
      <c r="K203" s="24" t="s">
        <v>1489</v>
      </c>
      <c r="L203" s="20" t="s">
        <v>1490</v>
      </c>
      <c r="M203" s="25" t="s">
        <v>1491</v>
      </c>
      <c r="N203" s="26" t="s">
        <v>28</v>
      </c>
      <c r="O203" s="24" t="s">
        <v>626</v>
      </c>
      <c r="P203" s="24" t="s">
        <v>627</v>
      </c>
      <c r="Q203" s="27"/>
      <c r="R203" s="27"/>
      <c r="S203" s="28" t="s">
        <v>1492</v>
      </c>
      <c r="T203" s="8" t="s">
        <v>1493</v>
      </c>
      <c r="U203" s="29" t="s">
        <v>1479</v>
      </c>
      <c r="V203" s="24" t="str">
        <f>iferror(VLOOKUP(A203,'tagging table'!A:G,7,0),"")</f>
        <v>Sweets</v>
      </c>
    </row>
    <row r="204">
      <c r="A204" s="30">
        <v>7.61650055346E12</v>
      </c>
      <c r="B204" s="20" t="s">
        <v>1494</v>
      </c>
      <c r="C204" s="21">
        <v>0.097</v>
      </c>
      <c r="D204" s="21">
        <v>0.18</v>
      </c>
      <c r="E204" s="21">
        <v>0.008</v>
      </c>
      <c r="F204" s="22">
        <v>38.0</v>
      </c>
      <c r="G204" s="23"/>
      <c r="H204" s="24" t="s">
        <v>1472</v>
      </c>
      <c r="I204" s="21" t="s">
        <v>1473</v>
      </c>
      <c r="J204" s="21" t="s">
        <v>622</v>
      </c>
      <c r="K204" s="24" t="s">
        <v>1495</v>
      </c>
      <c r="L204" s="20" t="s">
        <v>1496</v>
      </c>
      <c r="M204" s="25" t="s">
        <v>1497</v>
      </c>
      <c r="N204" s="26" t="s">
        <v>28</v>
      </c>
      <c r="O204" s="24" t="s">
        <v>1484</v>
      </c>
      <c r="P204" s="24" t="s">
        <v>1498</v>
      </c>
      <c r="Q204" s="27"/>
      <c r="R204" s="27"/>
      <c r="S204" s="28" t="s">
        <v>1499</v>
      </c>
      <c r="T204" s="8" t="s">
        <v>1500</v>
      </c>
      <c r="U204" s="29" t="s">
        <v>1479</v>
      </c>
      <c r="V204" s="24" t="str">
        <f>iferror(VLOOKUP(A204,'tagging table'!A:G,7,0),"")</f>
        <v>Sweets</v>
      </c>
    </row>
    <row r="205">
      <c r="A205" s="30">
        <v>45917.0</v>
      </c>
      <c r="B205" s="20" t="s">
        <v>1501</v>
      </c>
      <c r="C205" s="21">
        <v>0.063</v>
      </c>
      <c r="D205" s="21">
        <v>0.15</v>
      </c>
      <c r="E205" s="21">
        <v>0.075</v>
      </c>
      <c r="F205" s="22">
        <v>4.0</v>
      </c>
      <c r="G205" s="23"/>
      <c r="H205" s="24" t="s">
        <v>1502</v>
      </c>
      <c r="I205" s="21" t="s">
        <v>1503</v>
      </c>
      <c r="J205" s="24"/>
      <c r="K205" s="24" t="s">
        <v>1504</v>
      </c>
      <c r="L205" s="20" t="s">
        <v>1505</v>
      </c>
      <c r="M205" s="25" t="s">
        <v>1506</v>
      </c>
      <c r="N205" s="26" t="s">
        <v>28</v>
      </c>
      <c r="O205" s="24" t="s">
        <v>1507</v>
      </c>
      <c r="P205" s="24" t="s">
        <v>1508</v>
      </c>
      <c r="Q205" s="27"/>
      <c r="R205" s="27"/>
      <c r="S205" s="28" t="s">
        <v>1509</v>
      </c>
      <c r="T205" s="8" t="s">
        <v>1510</v>
      </c>
      <c r="U205" s="29" t="s">
        <v>1511</v>
      </c>
      <c r="V205" s="24" t="str">
        <f>iferror(VLOOKUP(A205,'tagging table'!A:G,7,0),"")</f>
        <v>Dairy</v>
      </c>
    </row>
    <row r="206">
      <c r="A206" s="30">
        <v>7.290014791879E12</v>
      </c>
      <c r="B206" s="20" t="s">
        <v>1512</v>
      </c>
      <c r="C206" s="21">
        <v>0.066</v>
      </c>
      <c r="D206" s="21">
        <v>0.202</v>
      </c>
      <c r="E206" s="21">
        <v>0.066</v>
      </c>
      <c r="F206" s="22">
        <v>5.0</v>
      </c>
      <c r="G206" s="23"/>
      <c r="H206" s="24" t="s">
        <v>1513</v>
      </c>
      <c r="I206" s="21" t="s">
        <v>1514</v>
      </c>
      <c r="J206" s="20" t="s">
        <v>1515</v>
      </c>
      <c r="K206" s="24" t="s">
        <v>1516</v>
      </c>
      <c r="L206" s="20" t="s">
        <v>1517</v>
      </c>
      <c r="M206" s="25" t="s">
        <v>1518</v>
      </c>
      <c r="N206" s="26" t="s">
        <v>28</v>
      </c>
      <c r="O206" s="24" t="s">
        <v>718</v>
      </c>
      <c r="P206" s="24" t="s">
        <v>719</v>
      </c>
      <c r="Q206" s="27"/>
      <c r="R206" s="27"/>
      <c r="S206" s="28" t="s">
        <v>1519</v>
      </c>
      <c r="T206" s="8" t="s">
        <v>1520</v>
      </c>
      <c r="U206" s="29" t="s">
        <v>1521</v>
      </c>
      <c r="V206" s="24" t="str">
        <f>iferror(VLOOKUP(A206,'tagging table'!A:G,7,0),"")</f>
        <v>Drinks</v>
      </c>
    </row>
    <row r="207">
      <c r="A207" s="30">
        <v>7.290014791817E12</v>
      </c>
      <c r="B207" s="20" t="s">
        <v>1522</v>
      </c>
      <c r="C207" s="21">
        <v>0.0955</v>
      </c>
      <c r="D207" s="21">
        <v>0.278</v>
      </c>
      <c r="E207" s="21">
        <v>0.0955</v>
      </c>
      <c r="F207" s="22">
        <v>3.0</v>
      </c>
      <c r="G207" s="23"/>
      <c r="H207" s="24" t="s">
        <v>1513</v>
      </c>
      <c r="I207" s="21" t="s">
        <v>1514</v>
      </c>
      <c r="J207" s="20" t="s">
        <v>1515</v>
      </c>
      <c r="K207" s="24" t="s">
        <v>1523</v>
      </c>
      <c r="L207" s="20" t="s">
        <v>1524</v>
      </c>
      <c r="M207" s="25" t="s">
        <v>1525</v>
      </c>
      <c r="N207" s="26" t="s">
        <v>28</v>
      </c>
      <c r="O207" s="24" t="s">
        <v>718</v>
      </c>
      <c r="P207" s="24" t="s">
        <v>1526</v>
      </c>
      <c r="Q207" s="27"/>
      <c r="R207" s="27"/>
      <c r="S207" s="31" t="s">
        <v>1527</v>
      </c>
      <c r="T207" s="33" t="s">
        <v>1528</v>
      </c>
      <c r="U207" s="29" t="s">
        <v>1529</v>
      </c>
      <c r="V207" s="24" t="str">
        <f>iferror(VLOOKUP(A207,'tagging table'!A:G,7,0),"")</f>
        <v>Drinks</v>
      </c>
    </row>
    <row r="208">
      <c r="A208" s="30">
        <v>7.2900147918E12</v>
      </c>
      <c r="B208" s="20" t="s">
        <v>1530</v>
      </c>
      <c r="C208" s="21">
        <v>0.0955</v>
      </c>
      <c r="D208" s="21">
        <v>0.278</v>
      </c>
      <c r="E208" s="21">
        <v>0.0955</v>
      </c>
      <c r="F208" s="22">
        <v>3.0</v>
      </c>
      <c r="G208" s="23"/>
      <c r="H208" s="24" t="s">
        <v>1513</v>
      </c>
      <c r="I208" s="21" t="s">
        <v>1514</v>
      </c>
      <c r="J208" s="20" t="s">
        <v>1515</v>
      </c>
      <c r="K208" s="24" t="s">
        <v>1531</v>
      </c>
      <c r="L208" s="20" t="s">
        <v>1532</v>
      </c>
      <c r="M208" s="25" t="s">
        <v>1533</v>
      </c>
      <c r="N208" s="26" t="s">
        <v>28</v>
      </c>
      <c r="O208" s="24" t="s">
        <v>718</v>
      </c>
      <c r="P208" s="24" t="s">
        <v>1526</v>
      </c>
      <c r="Q208" s="27"/>
      <c r="R208" s="27"/>
      <c r="S208" s="31" t="s">
        <v>1534</v>
      </c>
      <c r="T208" s="33" t="s">
        <v>1535</v>
      </c>
      <c r="U208" s="29" t="s">
        <v>1529</v>
      </c>
      <c r="V208" s="24" t="str">
        <f>iferror(VLOOKUP(A208,'tagging table'!A:G,7,0),"")</f>
        <v>Drinks</v>
      </c>
    </row>
    <row r="209">
      <c r="A209" s="30">
        <v>7.290014791848E12</v>
      </c>
      <c r="B209" s="20" t="s">
        <v>1536</v>
      </c>
      <c r="C209" s="21">
        <v>0.066</v>
      </c>
      <c r="D209" s="21">
        <v>0.202</v>
      </c>
      <c r="E209" s="21">
        <v>0.066</v>
      </c>
      <c r="F209" s="22">
        <v>5.0</v>
      </c>
      <c r="G209" s="23"/>
      <c r="H209" s="24" t="s">
        <v>1513</v>
      </c>
      <c r="I209" s="21" t="s">
        <v>1514</v>
      </c>
      <c r="J209" s="20" t="s">
        <v>1515</v>
      </c>
      <c r="K209" s="24" t="s">
        <v>1537</v>
      </c>
      <c r="L209" s="20" t="s">
        <v>1538</v>
      </c>
      <c r="M209" s="25" t="s">
        <v>1539</v>
      </c>
      <c r="N209" s="26" t="s">
        <v>28</v>
      </c>
      <c r="O209" s="24" t="s">
        <v>718</v>
      </c>
      <c r="P209" s="24" t="s">
        <v>719</v>
      </c>
      <c r="Q209" s="27"/>
      <c r="R209" s="27"/>
      <c r="S209" s="28" t="s">
        <v>1540</v>
      </c>
      <c r="T209" s="8" t="s">
        <v>1541</v>
      </c>
      <c r="U209" s="29" t="s">
        <v>1521</v>
      </c>
      <c r="V209" s="24" t="str">
        <f>iferror(VLOOKUP(A209,'tagging table'!A:G,7,0),"")</f>
        <v>Drinks</v>
      </c>
    </row>
    <row r="210">
      <c r="A210" s="30">
        <v>7.290014791787E12</v>
      </c>
      <c r="B210" s="20" t="s">
        <v>1542</v>
      </c>
      <c r="C210" s="21">
        <v>0.0955</v>
      </c>
      <c r="D210" s="21">
        <v>0.278</v>
      </c>
      <c r="E210" s="21">
        <v>0.0955</v>
      </c>
      <c r="F210" s="22">
        <v>3.0</v>
      </c>
      <c r="G210" s="23"/>
      <c r="H210" s="24" t="s">
        <v>1513</v>
      </c>
      <c r="I210" s="21" t="s">
        <v>1514</v>
      </c>
      <c r="J210" s="20" t="s">
        <v>1515</v>
      </c>
      <c r="K210" s="24" t="s">
        <v>1543</v>
      </c>
      <c r="L210" s="20" t="s">
        <v>1544</v>
      </c>
      <c r="M210" s="25" t="s">
        <v>1545</v>
      </c>
      <c r="N210" s="26" t="s">
        <v>28</v>
      </c>
      <c r="O210" s="24" t="s">
        <v>718</v>
      </c>
      <c r="P210" s="24" t="s">
        <v>1526</v>
      </c>
      <c r="Q210" s="27"/>
      <c r="R210" s="27"/>
      <c r="S210" s="31" t="s">
        <v>1546</v>
      </c>
      <c r="T210" s="33" t="s">
        <v>1547</v>
      </c>
      <c r="U210" s="29" t="s">
        <v>1529</v>
      </c>
      <c r="V210" s="24" t="str">
        <f>iferror(VLOOKUP(A210,'tagging table'!A:G,7,0),"")</f>
        <v>Drinks</v>
      </c>
    </row>
    <row r="211">
      <c r="A211" s="30">
        <v>7.290017888033E12</v>
      </c>
      <c r="B211" s="20" t="s">
        <v>1548</v>
      </c>
      <c r="C211" s="21">
        <v>0.065</v>
      </c>
      <c r="D211" s="21">
        <v>0.153</v>
      </c>
      <c r="E211" s="21">
        <v>0.065</v>
      </c>
      <c r="F211" s="22">
        <v>5.0</v>
      </c>
      <c r="G211" s="23"/>
      <c r="H211" s="24" t="s">
        <v>1549</v>
      </c>
      <c r="I211" s="21" t="s">
        <v>1550</v>
      </c>
      <c r="J211" s="20" t="s">
        <v>1551</v>
      </c>
      <c r="K211" s="24" t="s">
        <v>1552</v>
      </c>
      <c r="L211" s="20" t="s">
        <v>1553</v>
      </c>
      <c r="M211" s="25" t="s">
        <v>1554</v>
      </c>
      <c r="N211" s="26" t="s">
        <v>28</v>
      </c>
      <c r="O211" s="24" t="s">
        <v>1555</v>
      </c>
      <c r="P211" s="24" t="s">
        <v>1556</v>
      </c>
      <c r="Q211" s="27"/>
      <c r="R211" s="27"/>
      <c r="S211" s="28" t="s">
        <v>1557</v>
      </c>
      <c r="T211" s="8" t="s">
        <v>1558</v>
      </c>
      <c r="U211" s="29" t="s">
        <v>1550</v>
      </c>
      <c r="V211" s="24" t="str">
        <f>iferror(VLOOKUP(A211,'tagging table'!A:G,7,0),"")</f>
        <v>Drinks</v>
      </c>
    </row>
    <row r="212">
      <c r="A212" s="30">
        <v>7.290017888644E12</v>
      </c>
      <c r="B212" s="20" t="s">
        <v>1559</v>
      </c>
      <c r="C212" s="21">
        <v>0.065</v>
      </c>
      <c r="D212" s="21">
        <v>0.153</v>
      </c>
      <c r="E212" s="21">
        <v>0.065</v>
      </c>
      <c r="F212" s="22">
        <v>5.0</v>
      </c>
      <c r="G212" s="23"/>
      <c r="H212" s="24" t="s">
        <v>1549</v>
      </c>
      <c r="I212" s="21" t="s">
        <v>1550</v>
      </c>
      <c r="J212" s="20" t="s">
        <v>1551</v>
      </c>
      <c r="K212" s="24" t="s">
        <v>1560</v>
      </c>
      <c r="L212" s="20" t="s">
        <v>1561</v>
      </c>
      <c r="M212" s="25" t="s">
        <v>1562</v>
      </c>
      <c r="N212" s="26" t="s">
        <v>28</v>
      </c>
      <c r="O212" s="24" t="s">
        <v>718</v>
      </c>
      <c r="P212" s="24" t="s">
        <v>719</v>
      </c>
      <c r="Q212" s="27"/>
      <c r="R212" s="27"/>
      <c r="S212" s="31" t="s">
        <v>1563</v>
      </c>
      <c r="T212" s="8" t="s">
        <v>1564</v>
      </c>
      <c r="U212" s="29" t="s">
        <v>1550</v>
      </c>
      <c r="V212" s="24" t="str">
        <f>iferror(VLOOKUP(A212,'tagging table'!A:G,7,0),"")</f>
        <v>Drinks</v>
      </c>
    </row>
    <row r="213">
      <c r="A213" s="30">
        <v>7.290017888026E12</v>
      </c>
      <c r="B213" s="20" t="s">
        <v>1565</v>
      </c>
      <c r="C213" s="21">
        <v>0.065</v>
      </c>
      <c r="D213" s="21">
        <v>0.153</v>
      </c>
      <c r="E213" s="21">
        <v>0.065</v>
      </c>
      <c r="F213" s="22">
        <v>5.0</v>
      </c>
      <c r="G213" s="23"/>
      <c r="H213" s="24" t="s">
        <v>1549</v>
      </c>
      <c r="I213" s="21" t="s">
        <v>1550</v>
      </c>
      <c r="J213" s="20" t="s">
        <v>1551</v>
      </c>
      <c r="K213" s="24" t="s">
        <v>1566</v>
      </c>
      <c r="L213" s="20" t="s">
        <v>1567</v>
      </c>
      <c r="M213" s="25" t="s">
        <v>1568</v>
      </c>
      <c r="N213" s="26" t="s">
        <v>28</v>
      </c>
      <c r="O213" s="24" t="s">
        <v>1555</v>
      </c>
      <c r="P213" s="24" t="s">
        <v>1556</v>
      </c>
      <c r="Q213" s="27"/>
      <c r="R213" s="27"/>
      <c r="S213" s="28" t="s">
        <v>1569</v>
      </c>
      <c r="T213" s="33" t="s">
        <v>1570</v>
      </c>
      <c r="U213" s="29" t="s">
        <v>1550</v>
      </c>
      <c r="V213" s="24" t="str">
        <f>iferror(VLOOKUP(A213,'tagging table'!A:G,7,0),"")</f>
        <v>Drinks</v>
      </c>
    </row>
    <row r="214">
      <c r="A214" s="30">
        <v>7.290017888019E12</v>
      </c>
      <c r="B214" s="20" t="s">
        <v>1571</v>
      </c>
      <c r="C214" s="21">
        <v>0.065</v>
      </c>
      <c r="D214" s="21">
        <v>0.153</v>
      </c>
      <c r="E214" s="21">
        <v>0.065</v>
      </c>
      <c r="F214" s="22">
        <v>5.0</v>
      </c>
      <c r="G214" s="23"/>
      <c r="H214" s="24" t="s">
        <v>1549</v>
      </c>
      <c r="I214" s="21" t="s">
        <v>1550</v>
      </c>
      <c r="J214" s="20" t="s">
        <v>1551</v>
      </c>
      <c r="K214" s="24" t="s">
        <v>1572</v>
      </c>
      <c r="L214" s="20" t="s">
        <v>1573</v>
      </c>
      <c r="M214" s="25" t="s">
        <v>1574</v>
      </c>
      <c r="N214" s="26" t="s">
        <v>28</v>
      </c>
      <c r="O214" s="24" t="s">
        <v>1555</v>
      </c>
      <c r="P214" s="24" t="s">
        <v>1556</v>
      </c>
      <c r="Q214" s="27"/>
      <c r="R214" s="27"/>
      <c r="S214" s="28" t="s">
        <v>1575</v>
      </c>
      <c r="T214" s="8" t="s">
        <v>1576</v>
      </c>
      <c r="U214" s="29" t="s">
        <v>1550</v>
      </c>
      <c r="V214" s="24" t="str">
        <f>iferror(VLOOKUP(A214,'tagging table'!A:G,7,0),"")</f>
        <v>Drinks</v>
      </c>
    </row>
    <row r="215">
      <c r="A215" s="30">
        <v>7.29001101858E12</v>
      </c>
      <c r="B215" s="20" t="s">
        <v>1577</v>
      </c>
      <c r="C215" s="21">
        <v>0.09199999</v>
      </c>
      <c r="D215" s="21">
        <v>0.3</v>
      </c>
      <c r="E215" s="21">
        <v>0.09199999</v>
      </c>
      <c r="F215" s="22">
        <v>3.0</v>
      </c>
      <c r="G215" s="23"/>
      <c r="H215" s="24" t="s">
        <v>1578</v>
      </c>
      <c r="I215" s="21" t="s">
        <v>1579</v>
      </c>
      <c r="J215" s="20" t="s">
        <v>1580</v>
      </c>
      <c r="K215" s="24" t="s">
        <v>1581</v>
      </c>
      <c r="L215" s="20" t="s">
        <v>1582</v>
      </c>
      <c r="M215" s="25" t="s">
        <v>1583</v>
      </c>
      <c r="N215" s="26" t="s">
        <v>28</v>
      </c>
      <c r="O215" s="24" t="s">
        <v>149</v>
      </c>
      <c r="P215" s="24" t="s">
        <v>163</v>
      </c>
      <c r="Q215" s="27"/>
      <c r="R215" s="27"/>
      <c r="S215" s="31" t="s">
        <v>1584</v>
      </c>
      <c r="T215" s="8" t="s">
        <v>1585</v>
      </c>
      <c r="U215" s="29" t="s">
        <v>1586</v>
      </c>
      <c r="V215" s="24" t="str">
        <f>iferror(VLOOKUP(A215,'tagging table'!A:G,7,0),"")</f>
        <v>Drinks</v>
      </c>
    </row>
    <row r="216">
      <c r="A216" s="30">
        <v>7.290011018184E12</v>
      </c>
      <c r="B216" s="20" t="s">
        <v>1587</v>
      </c>
      <c r="C216" s="21">
        <v>0.073</v>
      </c>
      <c r="D216" s="21">
        <v>0.205</v>
      </c>
      <c r="E216" s="21">
        <v>0.02</v>
      </c>
      <c r="F216" s="22">
        <v>15.0</v>
      </c>
      <c r="G216" s="23"/>
      <c r="H216" s="24" t="s">
        <v>1578</v>
      </c>
      <c r="I216" s="21" t="s">
        <v>1579</v>
      </c>
      <c r="J216" s="20" t="s">
        <v>1580</v>
      </c>
      <c r="K216" s="24" t="s">
        <v>1588</v>
      </c>
      <c r="L216" s="20" t="s">
        <v>1589</v>
      </c>
      <c r="M216" s="25" t="s">
        <v>1590</v>
      </c>
      <c r="N216" s="26" t="s">
        <v>28</v>
      </c>
      <c r="O216" s="24" t="s">
        <v>149</v>
      </c>
      <c r="P216" s="24" t="s">
        <v>150</v>
      </c>
      <c r="Q216" s="27"/>
      <c r="R216" s="27"/>
      <c r="S216" s="28" t="s">
        <v>1591</v>
      </c>
      <c r="T216" s="8" t="s">
        <v>1592</v>
      </c>
      <c r="U216" s="29" t="s">
        <v>1586</v>
      </c>
      <c r="V216" s="24" t="str">
        <f>iferror(VLOOKUP(A216,'tagging table'!A:G,7,0),"")</f>
        <v>Drinks</v>
      </c>
    </row>
    <row r="217">
      <c r="A217" s="30">
        <v>7.290011018283E12</v>
      </c>
      <c r="B217" s="20" t="s">
        <v>1587</v>
      </c>
      <c r="C217" s="21">
        <v>0.09199999</v>
      </c>
      <c r="D217" s="21">
        <v>0.3</v>
      </c>
      <c r="E217" s="21">
        <v>0.09199999</v>
      </c>
      <c r="F217" s="22">
        <v>3.0</v>
      </c>
      <c r="G217" s="23"/>
      <c r="H217" s="24" t="s">
        <v>1578</v>
      </c>
      <c r="I217" s="21" t="s">
        <v>1579</v>
      </c>
      <c r="J217" s="20" t="s">
        <v>1580</v>
      </c>
      <c r="K217" s="24" t="s">
        <v>1588</v>
      </c>
      <c r="L217" s="20" t="s">
        <v>1589</v>
      </c>
      <c r="M217" s="25" t="s">
        <v>1593</v>
      </c>
      <c r="N217" s="26" t="s">
        <v>28</v>
      </c>
      <c r="O217" s="24" t="s">
        <v>149</v>
      </c>
      <c r="P217" s="24" t="s">
        <v>163</v>
      </c>
      <c r="Q217" s="27"/>
      <c r="R217" s="27"/>
      <c r="S217" s="28" t="s">
        <v>1594</v>
      </c>
      <c r="T217" s="8" t="s">
        <v>1595</v>
      </c>
      <c r="U217" s="29" t="s">
        <v>1586</v>
      </c>
      <c r="V217" s="24" t="str">
        <f>iferror(VLOOKUP(A217,'tagging table'!A:G,7,0),"")</f>
        <v>Drinks</v>
      </c>
    </row>
    <row r="218">
      <c r="A218" s="30">
        <v>7.290011018306E12</v>
      </c>
      <c r="B218" s="20" t="s">
        <v>1596</v>
      </c>
      <c r="C218" s="21">
        <v>0.09199999</v>
      </c>
      <c r="D218" s="21">
        <v>0.3</v>
      </c>
      <c r="E218" s="21">
        <v>0.09199999</v>
      </c>
      <c r="F218" s="22">
        <v>3.0</v>
      </c>
      <c r="G218" s="23"/>
      <c r="H218" s="24" t="s">
        <v>1578</v>
      </c>
      <c r="I218" s="21" t="s">
        <v>1579</v>
      </c>
      <c r="J218" s="20" t="s">
        <v>1580</v>
      </c>
      <c r="K218" s="24" t="s">
        <v>1597</v>
      </c>
      <c r="L218" s="20" t="s">
        <v>1598</v>
      </c>
      <c r="M218" s="25" t="s">
        <v>1599</v>
      </c>
      <c r="N218" s="26" t="s">
        <v>28</v>
      </c>
      <c r="O218" s="24" t="s">
        <v>149</v>
      </c>
      <c r="P218" s="24" t="s">
        <v>163</v>
      </c>
      <c r="Q218" s="27"/>
      <c r="R218" s="27"/>
      <c r="S218" s="31" t="s">
        <v>1600</v>
      </c>
      <c r="T218" s="8" t="s">
        <v>1601</v>
      </c>
      <c r="U218" s="29" t="s">
        <v>1586</v>
      </c>
      <c r="V218" s="24" t="str">
        <f>iferror(VLOOKUP(A218,'tagging table'!A:G,7,0),"")</f>
        <v>Drinks</v>
      </c>
    </row>
    <row r="219">
      <c r="A219" s="30">
        <v>7.290011018214E12</v>
      </c>
      <c r="B219" s="20" t="s">
        <v>1602</v>
      </c>
      <c r="C219" s="21">
        <v>0.073</v>
      </c>
      <c r="D219" s="21">
        <v>0.205</v>
      </c>
      <c r="E219" s="21">
        <v>0.02</v>
      </c>
      <c r="F219" s="22">
        <v>15.0</v>
      </c>
      <c r="G219" s="23"/>
      <c r="H219" s="24" t="s">
        <v>1578</v>
      </c>
      <c r="I219" s="21" t="s">
        <v>1579</v>
      </c>
      <c r="J219" s="20" t="s">
        <v>1580</v>
      </c>
      <c r="K219" s="24" t="s">
        <v>1603</v>
      </c>
      <c r="L219" s="20" t="s">
        <v>1604</v>
      </c>
      <c r="M219" s="25" t="s">
        <v>1605</v>
      </c>
      <c r="N219" s="26" t="s">
        <v>28</v>
      </c>
      <c r="O219" s="24" t="s">
        <v>149</v>
      </c>
      <c r="P219" s="24" t="s">
        <v>150</v>
      </c>
      <c r="Q219" s="27"/>
      <c r="R219" s="27"/>
      <c r="S219" s="28" t="s">
        <v>1606</v>
      </c>
      <c r="T219" s="8" t="s">
        <v>1607</v>
      </c>
      <c r="U219" s="29" t="s">
        <v>1586</v>
      </c>
      <c r="V219" s="24" t="str">
        <f>iferror(VLOOKUP(A219,'tagging table'!A:G,7,0),"")</f>
        <v>Drinks</v>
      </c>
    </row>
    <row r="220">
      <c r="A220" s="30">
        <v>7.290011018252E12</v>
      </c>
      <c r="B220" s="20" t="s">
        <v>1602</v>
      </c>
      <c r="C220" s="21">
        <v>0.09199999</v>
      </c>
      <c r="D220" s="21">
        <v>0.3</v>
      </c>
      <c r="E220" s="21">
        <v>0.09199999</v>
      </c>
      <c r="F220" s="22">
        <v>3.0</v>
      </c>
      <c r="G220" s="23"/>
      <c r="H220" s="24" t="s">
        <v>1578</v>
      </c>
      <c r="I220" s="21" t="s">
        <v>1579</v>
      </c>
      <c r="J220" s="20" t="s">
        <v>1580</v>
      </c>
      <c r="K220" s="24" t="s">
        <v>1603</v>
      </c>
      <c r="L220" s="20" t="s">
        <v>1604</v>
      </c>
      <c r="M220" s="25" t="s">
        <v>1608</v>
      </c>
      <c r="N220" s="26" t="s">
        <v>28</v>
      </c>
      <c r="O220" s="24" t="s">
        <v>149</v>
      </c>
      <c r="P220" s="24" t="s">
        <v>163</v>
      </c>
      <c r="Q220" s="27"/>
      <c r="R220" s="27"/>
      <c r="S220" s="28" t="s">
        <v>1609</v>
      </c>
      <c r="T220" s="8" t="s">
        <v>1610</v>
      </c>
      <c r="U220" s="29" t="s">
        <v>1586</v>
      </c>
      <c r="V220" s="24" t="str">
        <f>iferror(VLOOKUP(A220,'tagging table'!A:G,7,0),"")</f>
        <v>Drinks</v>
      </c>
    </row>
    <row r="221">
      <c r="A221" s="30">
        <v>7.290011018191E12</v>
      </c>
      <c r="B221" s="20" t="s">
        <v>1611</v>
      </c>
      <c r="C221" s="21">
        <v>0.073</v>
      </c>
      <c r="D221" s="21">
        <v>0.205</v>
      </c>
      <c r="E221" s="21">
        <v>0.02</v>
      </c>
      <c r="F221" s="22">
        <v>15.0</v>
      </c>
      <c r="G221" s="23"/>
      <c r="H221" s="24" t="s">
        <v>1578</v>
      </c>
      <c r="I221" s="21" t="s">
        <v>1579</v>
      </c>
      <c r="J221" s="20" t="s">
        <v>1580</v>
      </c>
      <c r="K221" s="24" t="s">
        <v>1612</v>
      </c>
      <c r="L221" s="20" t="s">
        <v>1613</v>
      </c>
      <c r="M221" s="25" t="s">
        <v>1614</v>
      </c>
      <c r="N221" s="26" t="s">
        <v>28</v>
      </c>
      <c r="O221" s="24" t="s">
        <v>149</v>
      </c>
      <c r="P221" s="24" t="s">
        <v>150</v>
      </c>
      <c r="Q221" s="27"/>
      <c r="R221" s="27"/>
      <c r="S221" s="28" t="s">
        <v>1615</v>
      </c>
      <c r="T221" s="8" t="s">
        <v>1616</v>
      </c>
      <c r="U221" s="29" t="s">
        <v>1586</v>
      </c>
      <c r="V221" s="24" t="str">
        <f>iferror(VLOOKUP(A221,'tagging table'!A:G,7,0),"")</f>
        <v>Drinks</v>
      </c>
    </row>
    <row r="222">
      <c r="A222" s="30">
        <v>7.290110112141E12</v>
      </c>
      <c r="B222" s="20" t="s">
        <v>1617</v>
      </c>
      <c r="C222" s="21">
        <v>0.07</v>
      </c>
      <c r="D222" s="21">
        <v>0.205</v>
      </c>
      <c r="E222" s="21">
        <v>0.02</v>
      </c>
      <c r="F222" s="22">
        <v>15.0</v>
      </c>
      <c r="G222" s="23"/>
      <c r="H222" s="24" t="s">
        <v>1578</v>
      </c>
      <c r="I222" s="21" t="s">
        <v>1579</v>
      </c>
      <c r="J222" s="20" t="s">
        <v>1580</v>
      </c>
      <c r="K222" s="24" t="s">
        <v>1618</v>
      </c>
      <c r="L222" s="20" t="s">
        <v>1619</v>
      </c>
      <c r="M222" s="25" t="s">
        <v>1620</v>
      </c>
      <c r="N222" s="26" t="s">
        <v>28</v>
      </c>
      <c r="O222" s="24" t="s">
        <v>149</v>
      </c>
      <c r="P222" s="24" t="s">
        <v>150</v>
      </c>
      <c r="Q222" s="27"/>
      <c r="R222" s="27"/>
      <c r="S222" s="28" t="s">
        <v>1621</v>
      </c>
      <c r="T222" s="8" t="s">
        <v>1622</v>
      </c>
      <c r="U222" s="29" t="s">
        <v>1586</v>
      </c>
      <c r="V222" s="24" t="str">
        <f>iferror(VLOOKUP(A222,'tagging table'!A:G,7,0),"")</f>
        <v>Drinks</v>
      </c>
    </row>
    <row r="223">
      <c r="A223" s="30">
        <v>7.290110110765E12</v>
      </c>
      <c r="B223" s="20" t="s">
        <v>1623</v>
      </c>
      <c r="C223" s="21">
        <v>0.073</v>
      </c>
      <c r="D223" s="21">
        <v>0.205</v>
      </c>
      <c r="E223" s="21">
        <v>0.073</v>
      </c>
      <c r="F223" s="22">
        <v>4.0</v>
      </c>
      <c r="G223" s="23"/>
      <c r="H223" s="24" t="s">
        <v>1578</v>
      </c>
      <c r="I223" s="21" t="s">
        <v>1579</v>
      </c>
      <c r="J223" s="20" t="s">
        <v>1580</v>
      </c>
      <c r="K223" s="24" t="s">
        <v>1624</v>
      </c>
      <c r="L223" s="20" t="s">
        <v>1625</v>
      </c>
      <c r="M223" s="25" t="s">
        <v>1626</v>
      </c>
      <c r="N223" s="26" t="s">
        <v>28</v>
      </c>
      <c r="O223" s="24" t="s">
        <v>149</v>
      </c>
      <c r="P223" s="24" t="s">
        <v>150</v>
      </c>
      <c r="Q223" s="27"/>
      <c r="R223" s="27"/>
      <c r="S223" s="28" t="s">
        <v>1627</v>
      </c>
      <c r="T223" s="8" t="s">
        <v>1628</v>
      </c>
      <c r="U223" s="29" t="s">
        <v>1586</v>
      </c>
      <c r="V223" s="24" t="str">
        <f>iferror(VLOOKUP(A223,'tagging table'!A:G,7,0),"")</f>
        <v>Drinks</v>
      </c>
    </row>
    <row r="224">
      <c r="A224" s="30">
        <v>7.29011011349E12</v>
      </c>
      <c r="B224" s="20" t="s">
        <v>1629</v>
      </c>
      <c r="C224" s="21">
        <v>0.073</v>
      </c>
      <c r="D224" s="21">
        <v>0.205</v>
      </c>
      <c r="E224" s="21">
        <v>0.073</v>
      </c>
      <c r="F224" s="22">
        <v>4.0</v>
      </c>
      <c r="G224" s="23"/>
      <c r="H224" s="24" t="s">
        <v>1578</v>
      </c>
      <c r="I224" s="21" t="s">
        <v>1579</v>
      </c>
      <c r="J224" s="20" t="s">
        <v>1580</v>
      </c>
      <c r="K224" s="24" t="s">
        <v>1630</v>
      </c>
      <c r="L224" s="20" t="s">
        <v>1631</v>
      </c>
      <c r="M224" s="25" t="s">
        <v>1632</v>
      </c>
      <c r="N224" s="26" t="s">
        <v>28</v>
      </c>
      <c r="O224" s="24" t="s">
        <v>149</v>
      </c>
      <c r="P224" s="24" t="s">
        <v>150</v>
      </c>
      <c r="Q224" s="27"/>
      <c r="R224" s="27"/>
      <c r="S224" s="28" t="s">
        <v>1633</v>
      </c>
      <c r="T224" s="8" t="s">
        <v>1634</v>
      </c>
      <c r="U224" s="29" t="s">
        <v>1586</v>
      </c>
      <c r="V224" s="24" t="str">
        <f>iferror(VLOOKUP(A224,'tagging table'!A:G,7,0),"")</f>
        <v>Drinks</v>
      </c>
    </row>
    <row r="225">
      <c r="A225" s="30">
        <v>7.290110113483E12</v>
      </c>
      <c r="B225" s="20" t="s">
        <v>1629</v>
      </c>
      <c r="C225" s="21">
        <v>0.09199999</v>
      </c>
      <c r="D225" s="21">
        <v>0.3</v>
      </c>
      <c r="E225" s="21">
        <v>0.09199999</v>
      </c>
      <c r="F225" s="22">
        <v>3.0</v>
      </c>
      <c r="G225" s="23"/>
      <c r="H225" s="24" t="s">
        <v>1578</v>
      </c>
      <c r="I225" s="21" t="s">
        <v>1579</v>
      </c>
      <c r="J225" s="20" t="s">
        <v>1580</v>
      </c>
      <c r="K225" s="24" t="s">
        <v>1630</v>
      </c>
      <c r="L225" s="20" t="s">
        <v>1631</v>
      </c>
      <c r="M225" s="25" t="s">
        <v>1635</v>
      </c>
      <c r="N225" s="26" t="s">
        <v>28</v>
      </c>
      <c r="O225" s="24" t="s">
        <v>149</v>
      </c>
      <c r="P225" s="24" t="s">
        <v>163</v>
      </c>
      <c r="Q225" s="27"/>
      <c r="R225" s="27"/>
      <c r="S225" s="28" t="s">
        <v>1636</v>
      </c>
      <c r="T225" s="8" t="s">
        <v>1637</v>
      </c>
      <c r="U225" s="29" t="s">
        <v>1586</v>
      </c>
      <c r="V225" s="24" t="str">
        <f>iferror(VLOOKUP(A225,'tagging table'!A:G,7,0),"")</f>
        <v>Drinks</v>
      </c>
    </row>
    <row r="226">
      <c r="A226" s="30">
        <v>8.001160001892E12</v>
      </c>
      <c r="B226" s="20" t="s">
        <v>1638</v>
      </c>
      <c r="C226" s="21">
        <v>0.062</v>
      </c>
      <c r="D226" s="21">
        <v>0.24</v>
      </c>
      <c r="E226" s="21">
        <v>0.062</v>
      </c>
      <c r="F226" s="22">
        <v>5.0</v>
      </c>
      <c r="G226" s="23"/>
      <c r="H226" s="24" t="s">
        <v>1639</v>
      </c>
      <c r="I226" s="21" t="s">
        <v>1640</v>
      </c>
      <c r="J226" s="20" t="s">
        <v>1641</v>
      </c>
      <c r="K226" s="24" t="s">
        <v>1642</v>
      </c>
      <c r="L226" s="20" t="s">
        <v>1643</v>
      </c>
      <c r="M226" s="25" t="s">
        <v>1644</v>
      </c>
      <c r="N226" s="26" t="s">
        <v>28</v>
      </c>
      <c r="O226" s="24" t="s">
        <v>340</v>
      </c>
      <c r="P226" s="24" t="s">
        <v>1645</v>
      </c>
      <c r="Q226" s="27"/>
      <c r="R226" s="27"/>
      <c r="S226" s="28" t="s">
        <v>1646</v>
      </c>
      <c r="T226" s="8" t="s">
        <v>1647</v>
      </c>
      <c r="U226" s="29" t="s">
        <v>1640</v>
      </c>
      <c r="V226" s="24" t="str">
        <f>VLOOKUP(A226,'tagging table'!A:G,7,0)</f>
        <v>Drinks</v>
      </c>
    </row>
    <row r="227">
      <c r="A227" s="30">
        <v>8.001160001786E12</v>
      </c>
      <c r="B227" s="20" t="s">
        <v>1648</v>
      </c>
      <c r="C227" s="21">
        <v>0.062</v>
      </c>
      <c r="D227" s="21">
        <v>0.24</v>
      </c>
      <c r="E227" s="21">
        <v>0.062</v>
      </c>
      <c r="F227" s="22">
        <v>5.0</v>
      </c>
      <c r="G227" s="23"/>
      <c r="H227" s="24" t="s">
        <v>1639</v>
      </c>
      <c r="I227" s="21" t="s">
        <v>1640</v>
      </c>
      <c r="J227" s="20" t="s">
        <v>1641</v>
      </c>
      <c r="K227" s="24" t="s">
        <v>1649</v>
      </c>
      <c r="L227" s="20" t="s">
        <v>1650</v>
      </c>
      <c r="M227" s="25" t="s">
        <v>1651</v>
      </c>
      <c r="N227" s="26" t="s">
        <v>28</v>
      </c>
      <c r="O227" s="24" t="s">
        <v>340</v>
      </c>
      <c r="P227" s="24" t="s">
        <v>1645</v>
      </c>
      <c r="Q227" s="27"/>
      <c r="R227" s="27"/>
      <c r="S227" s="28" t="s">
        <v>1652</v>
      </c>
      <c r="T227" s="8" t="s">
        <v>1653</v>
      </c>
      <c r="U227" s="29" t="s">
        <v>1640</v>
      </c>
      <c r="V227" s="24" t="str">
        <f>VLOOKUP(A227,'tagging table'!A:G,7,0)</f>
        <v>Drinks</v>
      </c>
    </row>
    <row r="228">
      <c r="A228" s="30">
        <v>4125417.0</v>
      </c>
      <c r="B228" s="20" t="s">
        <v>1654</v>
      </c>
      <c r="C228" s="21">
        <v>0.07</v>
      </c>
      <c r="D228" s="21">
        <v>0.08</v>
      </c>
      <c r="E228" s="21">
        <v>0.075</v>
      </c>
      <c r="F228" s="22">
        <v>4.0</v>
      </c>
      <c r="G228" s="23"/>
      <c r="H228" s="24" t="s">
        <v>1655</v>
      </c>
      <c r="I228" s="21" t="s">
        <v>1656</v>
      </c>
      <c r="J228" s="24"/>
      <c r="K228" s="24" t="s">
        <v>1657</v>
      </c>
      <c r="L228" s="20" t="s">
        <v>1658</v>
      </c>
      <c r="M228" s="25" t="s">
        <v>1659</v>
      </c>
      <c r="N228" s="26" t="s">
        <v>28</v>
      </c>
      <c r="O228" s="24" t="s">
        <v>975</v>
      </c>
      <c r="P228" s="24" t="s">
        <v>1660</v>
      </c>
      <c r="Q228" s="27"/>
      <c r="R228" s="27"/>
      <c r="S228" s="28" t="s">
        <v>1661</v>
      </c>
      <c r="T228" s="8" t="s">
        <v>1662</v>
      </c>
      <c r="U228" s="29" t="s">
        <v>1656</v>
      </c>
      <c r="V228" s="24" t="str">
        <f>VLOOKUP(A228,'tagging table'!A:G,7,0)</f>
        <v>Dairy</v>
      </c>
    </row>
    <row r="229">
      <c r="A229" s="30">
        <v>7.290110323066E12</v>
      </c>
      <c r="B229" s="20" t="s">
        <v>1663</v>
      </c>
      <c r="C229" s="21">
        <v>0.062</v>
      </c>
      <c r="D229" s="21">
        <v>0.173</v>
      </c>
      <c r="E229" s="21">
        <v>0.075</v>
      </c>
      <c r="F229" s="22">
        <v>4.0</v>
      </c>
      <c r="G229" s="23"/>
      <c r="H229" s="32" t="s">
        <v>1664</v>
      </c>
      <c r="I229" s="21" t="s">
        <v>1665</v>
      </c>
      <c r="J229" s="24"/>
      <c r="K229" s="24" t="s">
        <v>1666</v>
      </c>
      <c r="L229" s="20" t="s">
        <v>1667</v>
      </c>
      <c r="M229" s="25" t="s">
        <v>1668</v>
      </c>
      <c r="N229" s="26" t="s">
        <v>28</v>
      </c>
      <c r="O229" s="24" t="s">
        <v>1021</v>
      </c>
      <c r="P229" s="24" t="s">
        <v>1044</v>
      </c>
      <c r="Q229" s="27"/>
      <c r="R229" s="27"/>
      <c r="S229" s="31" t="s">
        <v>1669</v>
      </c>
      <c r="T229" s="33" t="s">
        <v>1670</v>
      </c>
      <c r="U229" s="29" t="s">
        <v>1671</v>
      </c>
      <c r="V229" s="24" t="str">
        <f>iferror(VLOOKUP(A229,'tagging table'!A:G,7,0),"")</f>
        <v>Dairy</v>
      </c>
    </row>
    <row r="230">
      <c r="A230" s="30">
        <v>7.290110323073E12</v>
      </c>
      <c r="B230" s="20" t="s">
        <v>1672</v>
      </c>
      <c r="C230" s="21">
        <v>0.062</v>
      </c>
      <c r="D230" s="21">
        <v>0.173</v>
      </c>
      <c r="E230" s="21">
        <v>0.075</v>
      </c>
      <c r="F230" s="22">
        <v>4.0</v>
      </c>
      <c r="G230" s="23"/>
      <c r="H230" s="32" t="s">
        <v>1664</v>
      </c>
      <c r="I230" s="21" t="s">
        <v>1665</v>
      </c>
      <c r="J230" s="24"/>
      <c r="K230" s="24" t="s">
        <v>1673</v>
      </c>
      <c r="L230" s="20" t="s">
        <v>1674</v>
      </c>
      <c r="M230" s="25" t="s">
        <v>1675</v>
      </c>
      <c r="N230" s="26" t="s">
        <v>28</v>
      </c>
      <c r="O230" s="24" t="s">
        <v>1021</v>
      </c>
      <c r="P230" s="24" t="s">
        <v>1044</v>
      </c>
      <c r="Q230" s="27"/>
      <c r="R230" s="27"/>
      <c r="S230" s="31" t="s">
        <v>1676</v>
      </c>
      <c r="T230" s="33" t="s">
        <v>1677</v>
      </c>
      <c r="U230" s="29" t="s">
        <v>1671</v>
      </c>
      <c r="V230" s="24" t="str">
        <f>iferror(VLOOKUP(A230,'tagging table'!A:G,7,0),"")</f>
        <v>Dairy</v>
      </c>
    </row>
    <row r="231">
      <c r="A231" s="30">
        <v>8.690504153764E12</v>
      </c>
      <c r="B231" s="20" t="s">
        <v>1678</v>
      </c>
      <c r="C231" s="21">
        <v>0.16</v>
      </c>
      <c r="D231" s="21">
        <v>0.05</v>
      </c>
      <c r="E231" s="21">
        <v>0.02</v>
      </c>
      <c r="F231" s="22">
        <v>15.0</v>
      </c>
      <c r="G231" s="23"/>
      <c r="H231" s="24" t="s">
        <v>1679</v>
      </c>
      <c r="I231" s="21" t="s">
        <v>1680</v>
      </c>
      <c r="J231" s="24"/>
      <c r="K231" s="24" t="s">
        <v>1681</v>
      </c>
      <c r="L231" s="20" t="s">
        <v>1682</v>
      </c>
      <c r="M231" s="25" t="s">
        <v>1683</v>
      </c>
      <c r="N231" s="26" t="s">
        <v>28</v>
      </c>
      <c r="O231" s="24" t="s">
        <v>501</v>
      </c>
      <c r="P231" s="24" t="s">
        <v>502</v>
      </c>
      <c r="Q231" s="27"/>
      <c r="R231" s="27"/>
      <c r="S231" s="31" t="s">
        <v>1684</v>
      </c>
      <c r="T231" s="8" t="s">
        <v>1685</v>
      </c>
      <c r="U231" s="29" t="s">
        <v>1680</v>
      </c>
      <c r="V231" s="24" t="str">
        <f>VLOOKUP(A231,'tagging table'!A:G,7,0)</f>
        <v>Cashiers</v>
      </c>
    </row>
    <row r="232">
      <c r="A232" s="30">
        <v>8.690504033431E12</v>
      </c>
      <c r="B232" s="20" t="s">
        <v>1686</v>
      </c>
      <c r="C232" s="21">
        <v>0.16</v>
      </c>
      <c r="D232" s="21">
        <v>0.05</v>
      </c>
      <c r="E232" s="21">
        <v>0.02</v>
      </c>
      <c r="F232" s="22">
        <v>15.0</v>
      </c>
      <c r="G232" s="23"/>
      <c r="H232" s="24" t="s">
        <v>1679</v>
      </c>
      <c r="I232" s="21" t="s">
        <v>1680</v>
      </c>
      <c r="J232" s="24"/>
      <c r="K232" s="24" t="s">
        <v>1687</v>
      </c>
      <c r="L232" s="20" t="s">
        <v>1688</v>
      </c>
      <c r="M232" s="25" t="s">
        <v>1689</v>
      </c>
      <c r="N232" s="26" t="s">
        <v>28</v>
      </c>
      <c r="O232" s="24" t="s">
        <v>501</v>
      </c>
      <c r="P232" s="24" t="s">
        <v>502</v>
      </c>
      <c r="Q232" s="27"/>
      <c r="R232" s="27"/>
      <c r="S232" s="31" t="s">
        <v>1690</v>
      </c>
      <c r="T232" s="33" t="s">
        <v>1691</v>
      </c>
      <c r="U232" s="29" t="s">
        <v>1680</v>
      </c>
      <c r="V232" s="24" t="str">
        <f>VLOOKUP(A232,'tagging table'!A:G,7,0)</f>
        <v>Cashiers</v>
      </c>
    </row>
    <row r="233">
      <c r="A233" s="30">
        <v>8.690504033448E12</v>
      </c>
      <c r="B233" s="20" t="s">
        <v>1692</v>
      </c>
      <c r="C233" s="21">
        <v>0.16</v>
      </c>
      <c r="D233" s="21">
        <v>0.05</v>
      </c>
      <c r="E233" s="21">
        <v>0.02</v>
      </c>
      <c r="F233" s="22">
        <v>15.0</v>
      </c>
      <c r="G233" s="23"/>
      <c r="H233" s="24" t="s">
        <v>1679</v>
      </c>
      <c r="I233" s="21" t="s">
        <v>1680</v>
      </c>
      <c r="J233" s="24"/>
      <c r="K233" s="24" t="s">
        <v>1693</v>
      </c>
      <c r="L233" s="20" t="s">
        <v>1694</v>
      </c>
      <c r="M233" s="25" t="s">
        <v>1695</v>
      </c>
      <c r="N233" s="26" t="s">
        <v>28</v>
      </c>
      <c r="O233" s="24" t="s">
        <v>501</v>
      </c>
      <c r="P233" s="24" t="s">
        <v>502</v>
      </c>
      <c r="Q233" s="27"/>
      <c r="R233" s="27"/>
      <c r="S233" s="31" t="s">
        <v>1696</v>
      </c>
      <c r="T233" s="8" t="s">
        <v>1697</v>
      </c>
      <c r="U233" s="29" t="s">
        <v>1680</v>
      </c>
      <c r="V233" s="24" t="str">
        <f>VLOOKUP(A233,'tagging table'!A:G,7,0)</f>
        <v>Cashiers</v>
      </c>
    </row>
    <row r="234">
      <c r="A234" s="30">
        <v>8.690504153856E12</v>
      </c>
      <c r="B234" s="20" t="s">
        <v>1698</v>
      </c>
      <c r="C234" s="21">
        <v>0.16</v>
      </c>
      <c r="D234" s="21">
        <v>0.05</v>
      </c>
      <c r="E234" s="21">
        <v>0.02</v>
      </c>
      <c r="F234" s="22">
        <v>15.0</v>
      </c>
      <c r="G234" s="23"/>
      <c r="H234" s="24" t="s">
        <v>1679</v>
      </c>
      <c r="I234" s="21" t="s">
        <v>1680</v>
      </c>
      <c r="J234" s="24"/>
      <c r="K234" s="24" t="s">
        <v>1699</v>
      </c>
      <c r="L234" s="20" t="s">
        <v>1700</v>
      </c>
      <c r="M234" s="25" t="s">
        <v>1701</v>
      </c>
      <c r="N234" s="26" t="s">
        <v>28</v>
      </c>
      <c r="O234" s="24" t="s">
        <v>501</v>
      </c>
      <c r="P234" s="24" t="s">
        <v>502</v>
      </c>
      <c r="Q234" s="27"/>
      <c r="R234" s="27"/>
      <c r="S234" s="31" t="s">
        <v>1702</v>
      </c>
      <c r="T234" s="8" t="s">
        <v>1703</v>
      </c>
      <c r="U234" s="29" t="s">
        <v>1680</v>
      </c>
      <c r="V234" s="24" t="str">
        <f>VLOOKUP(A234,'tagging table'!A:G,7,0)</f>
        <v>Cashiers</v>
      </c>
    </row>
    <row r="235">
      <c r="A235" s="30">
        <v>7.290110325893E12</v>
      </c>
      <c r="B235" s="20" t="s">
        <v>1704</v>
      </c>
      <c r="C235" s="21">
        <v>0.055</v>
      </c>
      <c r="D235" s="21">
        <v>0.17</v>
      </c>
      <c r="E235" s="21">
        <v>0.08</v>
      </c>
      <c r="F235" s="22">
        <v>4.0</v>
      </c>
      <c r="G235" s="23"/>
      <c r="H235" s="32" t="s">
        <v>57</v>
      </c>
      <c r="I235" s="21" t="s">
        <v>1671</v>
      </c>
      <c r="J235" s="24"/>
      <c r="K235" s="24" t="s">
        <v>1705</v>
      </c>
      <c r="L235" s="20" t="s">
        <v>1706</v>
      </c>
      <c r="M235" s="25" t="s">
        <v>1707</v>
      </c>
      <c r="N235" s="26" t="s">
        <v>28</v>
      </c>
      <c r="O235" s="24" t="s">
        <v>700</v>
      </c>
      <c r="P235" s="24" t="s">
        <v>1078</v>
      </c>
      <c r="Q235" s="27"/>
      <c r="R235" s="27"/>
      <c r="S235" s="28" t="s">
        <v>1708</v>
      </c>
      <c r="T235" s="8" t="s">
        <v>1709</v>
      </c>
      <c r="U235" s="29" t="s">
        <v>1671</v>
      </c>
      <c r="V235" s="24" t="str">
        <f>iferror(VLOOKUP(A235,'tagging table'!A:G,7,0),"")</f>
        <v>Dairy</v>
      </c>
    </row>
    <row r="236">
      <c r="A236" s="30">
        <v>7.290110324773E12</v>
      </c>
      <c r="B236" s="20" t="s">
        <v>1710</v>
      </c>
      <c r="C236" s="21">
        <v>0.055</v>
      </c>
      <c r="D236" s="21">
        <v>0.17</v>
      </c>
      <c r="E236" s="21">
        <v>0.08</v>
      </c>
      <c r="F236" s="22">
        <v>4.0</v>
      </c>
      <c r="G236" s="23"/>
      <c r="H236" s="32" t="s">
        <v>57</v>
      </c>
      <c r="I236" s="21" t="s">
        <v>1671</v>
      </c>
      <c r="J236" s="24"/>
      <c r="K236" s="24" t="s">
        <v>1711</v>
      </c>
      <c r="L236" s="20" t="s">
        <v>1712</v>
      </c>
      <c r="M236" s="25" t="s">
        <v>1713</v>
      </c>
      <c r="N236" s="26" t="s">
        <v>28</v>
      </c>
      <c r="O236" s="24" t="s">
        <v>700</v>
      </c>
      <c r="P236" s="24" t="s">
        <v>1078</v>
      </c>
      <c r="Q236" s="27"/>
      <c r="R236" s="27"/>
      <c r="S236" s="28" t="s">
        <v>1714</v>
      </c>
      <c r="T236" s="8" t="s">
        <v>1715</v>
      </c>
      <c r="U236" s="29" t="s">
        <v>1671</v>
      </c>
      <c r="V236" s="24" t="str">
        <f>iferror(VLOOKUP(A236,'tagging table'!A:G,7,0),"")</f>
        <v>Dairy</v>
      </c>
    </row>
    <row r="237">
      <c r="A237" s="30">
        <v>7.290014763678E12</v>
      </c>
      <c r="B237" s="20" t="s">
        <v>1716</v>
      </c>
      <c r="C237" s="21">
        <v>0.07</v>
      </c>
      <c r="D237" s="21">
        <v>0.15</v>
      </c>
      <c r="E237" s="21">
        <v>0.075</v>
      </c>
      <c r="F237" s="22">
        <v>4.0</v>
      </c>
      <c r="G237" s="23"/>
      <c r="H237" s="32" t="s">
        <v>695</v>
      </c>
      <c r="I237" s="21" t="s">
        <v>1717</v>
      </c>
      <c r="J237" s="24"/>
      <c r="K237" s="24" t="s">
        <v>1718</v>
      </c>
      <c r="L237" s="20" t="s">
        <v>1719</v>
      </c>
      <c r="M237" s="25" t="s">
        <v>1720</v>
      </c>
      <c r="N237" s="26" t="s">
        <v>28</v>
      </c>
      <c r="O237" s="24" t="s">
        <v>700</v>
      </c>
      <c r="P237" s="24" t="s">
        <v>1078</v>
      </c>
      <c r="Q237" s="27"/>
      <c r="R237" s="27"/>
      <c r="S237" s="28" t="s">
        <v>1721</v>
      </c>
      <c r="T237" s="8" t="s">
        <v>1722</v>
      </c>
      <c r="U237" s="29" t="s">
        <v>1717</v>
      </c>
      <c r="V237" s="24" t="str">
        <f>iferror(VLOOKUP(A237,'tagging table'!A:G,7,0),"")</f>
        <v>Dairy</v>
      </c>
    </row>
    <row r="238">
      <c r="A238" s="30">
        <v>7.290110325886E12</v>
      </c>
      <c r="B238" s="20" t="s">
        <v>1723</v>
      </c>
      <c r="C238" s="21">
        <v>0.07</v>
      </c>
      <c r="D238" s="21">
        <v>0.15</v>
      </c>
      <c r="E238" s="21">
        <v>0.075</v>
      </c>
      <c r="F238" s="22">
        <v>4.0</v>
      </c>
      <c r="G238" s="23"/>
      <c r="H238" s="32" t="s">
        <v>57</v>
      </c>
      <c r="I238" s="21" t="s">
        <v>1717</v>
      </c>
      <c r="J238" s="24"/>
      <c r="K238" s="24" t="s">
        <v>1724</v>
      </c>
      <c r="L238" s="20" t="s">
        <v>1725</v>
      </c>
      <c r="M238" s="25" t="s">
        <v>1726</v>
      </c>
      <c r="N238" s="26" t="s">
        <v>28</v>
      </c>
      <c r="O238" s="24" t="s">
        <v>700</v>
      </c>
      <c r="P238" s="24" t="s">
        <v>1078</v>
      </c>
      <c r="Q238" s="27"/>
      <c r="R238" s="27"/>
      <c r="S238" s="31" t="s">
        <v>1727</v>
      </c>
      <c r="T238" s="8" t="s">
        <v>1728</v>
      </c>
      <c r="U238" s="29" t="s">
        <v>1717</v>
      </c>
      <c r="V238" s="24" t="str">
        <f>iferror(VLOOKUP(A238,'tagging table'!A:G,7,0),"")</f>
        <v>Dairy</v>
      </c>
    </row>
    <row r="239">
      <c r="A239" s="30">
        <v>7.290008464345E12</v>
      </c>
      <c r="B239" s="20" t="s">
        <v>1729</v>
      </c>
      <c r="C239" s="21">
        <v>0.06</v>
      </c>
      <c r="D239" s="21">
        <v>0.228</v>
      </c>
      <c r="E239" s="21">
        <v>0.06</v>
      </c>
      <c r="F239" s="22">
        <v>5.0</v>
      </c>
      <c r="G239" s="23"/>
      <c r="H239" s="24" t="s">
        <v>1730</v>
      </c>
      <c r="I239" s="21" t="s">
        <v>1731</v>
      </c>
      <c r="J239" s="20" t="s">
        <v>532</v>
      </c>
      <c r="K239" s="24" t="s">
        <v>1732</v>
      </c>
      <c r="L239" s="20" t="s">
        <v>1733</v>
      </c>
      <c r="M239" s="25" t="s">
        <v>1734</v>
      </c>
      <c r="N239" s="26" t="s">
        <v>37</v>
      </c>
      <c r="O239" s="24" t="s">
        <v>365</v>
      </c>
      <c r="P239" s="24" t="s">
        <v>536</v>
      </c>
      <c r="Q239" s="27"/>
      <c r="R239" s="27"/>
      <c r="S239" s="28" t="s">
        <v>1735</v>
      </c>
      <c r="T239" s="8" t="s">
        <v>1736</v>
      </c>
      <c r="U239" s="29" t="e">
        <v>#N/A</v>
      </c>
      <c r="V239" s="21" t="s">
        <v>573</v>
      </c>
    </row>
    <row r="240">
      <c r="A240" s="30">
        <v>7.290008464468E12</v>
      </c>
      <c r="B240" s="20" t="s">
        <v>1737</v>
      </c>
      <c r="C240" s="21">
        <v>0.065</v>
      </c>
      <c r="D240" s="21">
        <v>0.17</v>
      </c>
      <c r="E240" s="21">
        <v>0.065</v>
      </c>
      <c r="F240" s="22">
        <v>5.0</v>
      </c>
      <c r="G240" s="23"/>
      <c r="H240" s="24" t="s">
        <v>1730</v>
      </c>
      <c r="I240" s="21" t="s">
        <v>1731</v>
      </c>
      <c r="J240" s="20" t="s">
        <v>532</v>
      </c>
      <c r="K240" s="24" t="s">
        <v>1738</v>
      </c>
      <c r="L240" s="20" t="s">
        <v>1739</v>
      </c>
      <c r="M240" s="25" t="s">
        <v>1740</v>
      </c>
      <c r="N240" s="26" t="s">
        <v>37</v>
      </c>
      <c r="O240" s="24" t="s">
        <v>365</v>
      </c>
      <c r="P240" s="24" t="s">
        <v>366</v>
      </c>
      <c r="Q240" s="27"/>
      <c r="R240" s="27"/>
      <c r="S240" s="31" t="s">
        <v>1741</v>
      </c>
      <c r="T240" s="33" t="s">
        <v>1742</v>
      </c>
      <c r="U240" s="29" t="e">
        <v>#N/A</v>
      </c>
      <c r="V240" s="21" t="s">
        <v>573</v>
      </c>
    </row>
    <row r="241">
      <c r="A241" s="30">
        <v>7.290008464024E12</v>
      </c>
      <c r="B241" s="20" t="s">
        <v>1743</v>
      </c>
      <c r="C241" s="21">
        <v>0.065</v>
      </c>
      <c r="D241" s="21">
        <v>0.17</v>
      </c>
      <c r="E241" s="21">
        <v>0.065</v>
      </c>
      <c r="F241" s="22">
        <v>5.0</v>
      </c>
      <c r="G241" s="23"/>
      <c r="H241" s="24" t="s">
        <v>1730</v>
      </c>
      <c r="I241" s="21" t="s">
        <v>1731</v>
      </c>
      <c r="J241" s="20" t="s">
        <v>532</v>
      </c>
      <c r="K241" s="24" t="s">
        <v>1744</v>
      </c>
      <c r="L241" s="20" t="s">
        <v>1745</v>
      </c>
      <c r="M241" s="25" t="s">
        <v>1746</v>
      </c>
      <c r="N241" s="26" t="s">
        <v>37</v>
      </c>
      <c r="O241" s="24" t="s">
        <v>365</v>
      </c>
      <c r="P241" s="24" t="s">
        <v>366</v>
      </c>
      <c r="Q241" s="27"/>
      <c r="R241" s="27"/>
      <c r="S241" s="31" t="s">
        <v>1747</v>
      </c>
      <c r="T241" s="33" t="s">
        <v>1748</v>
      </c>
      <c r="U241" s="29" t="e">
        <v>#N/A</v>
      </c>
      <c r="V241" s="21" t="s">
        <v>573</v>
      </c>
    </row>
    <row r="242">
      <c r="A242" s="30">
        <v>7.290008464109E12</v>
      </c>
      <c r="B242" s="20" t="s">
        <v>1749</v>
      </c>
      <c r="C242" s="21">
        <v>0.06</v>
      </c>
      <c r="D242" s="21">
        <v>0.228</v>
      </c>
      <c r="E242" s="21">
        <v>0.06</v>
      </c>
      <c r="F242" s="22">
        <v>5.0</v>
      </c>
      <c r="G242" s="23"/>
      <c r="H242" s="24" t="s">
        <v>1730</v>
      </c>
      <c r="I242" s="21" t="s">
        <v>1731</v>
      </c>
      <c r="J242" s="20" t="s">
        <v>532</v>
      </c>
      <c r="K242" s="24" t="s">
        <v>1750</v>
      </c>
      <c r="L242" s="20" t="s">
        <v>1751</v>
      </c>
      <c r="M242" s="25" t="s">
        <v>1752</v>
      </c>
      <c r="N242" s="26" t="s">
        <v>37</v>
      </c>
      <c r="O242" s="24" t="s">
        <v>365</v>
      </c>
      <c r="P242" s="24" t="s">
        <v>536</v>
      </c>
      <c r="Q242" s="27"/>
      <c r="R242" s="27"/>
      <c r="S242" s="28" t="s">
        <v>1753</v>
      </c>
      <c r="T242" s="8" t="s">
        <v>1754</v>
      </c>
      <c r="U242" s="29" t="e">
        <v>#N/A</v>
      </c>
      <c r="V242" s="21" t="s">
        <v>573</v>
      </c>
    </row>
    <row r="243">
      <c r="A243" s="30">
        <v>4122195.0</v>
      </c>
      <c r="B243" s="20" t="s">
        <v>1755</v>
      </c>
      <c r="C243" s="21">
        <v>0.134</v>
      </c>
      <c r="D243" s="21">
        <v>0.154</v>
      </c>
      <c r="E243" s="21">
        <v>0.035</v>
      </c>
      <c r="F243" s="22">
        <v>9.0</v>
      </c>
      <c r="G243" s="23"/>
      <c r="H243" s="24" t="s">
        <v>1756</v>
      </c>
      <c r="I243" s="21" t="s">
        <v>1757</v>
      </c>
      <c r="J243" s="24"/>
      <c r="K243" s="24" t="s">
        <v>1758</v>
      </c>
      <c r="L243" s="20" t="s">
        <v>1759</v>
      </c>
      <c r="M243" s="25" t="s">
        <v>1760</v>
      </c>
      <c r="N243" s="26" t="s">
        <v>28</v>
      </c>
      <c r="O243" s="24" t="s">
        <v>1761</v>
      </c>
      <c r="P243" s="24" t="s">
        <v>1762</v>
      </c>
      <c r="Q243" s="27"/>
      <c r="R243" s="27"/>
      <c r="S243" s="28" t="s">
        <v>1763</v>
      </c>
      <c r="T243" s="8" t="s">
        <v>1764</v>
      </c>
      <c r="U243" s="29" t="s">
        <v>1765</v>
      </c>
      <c r="V243" s="24" t="str">
        <f>VLOOKUP(A243,'tagging table'!A:G,7,0)</f>
        <v>Dairy</v>
      </c>
    </row>
    <row r="244">
      <c r="A244" s="30">
        <v>8.0176732E7</v>
      </c>
      <c r="B244" s="20" t="s">
        <v>1766</v>
      </c>
      <c r="C244" s="21">
        <v>0.045</v>
      </c>
      <c r="D244" s="21">
        <v>0.09</v>
      </c>
      <c r="E244" s="21">
        <v>0.02</v>
      </c>
      <c r="F244" s="22">
        <v>15.0</v>
      </c>
      <c r="G244" s="23"/>
      <c r="H244" s="24" t="s">
        <v>1767</v>
      </c>
      <c r="I244" s="21" t="s">
        <v>1768</v>
      </c>
      <c r="J244" s="24"/>
      <c r="K244" s="24" t="s">
        <v>1769</v>
      </c>
      <c r="L244" s="20" t="s">
        <v>1770</v>
      </c>
      <c r="M244" s="25" t="s">
        <v>1771</v>
      </c>
      <c r="N244" s="26" t="s">
        <v>28</v>
      </c>
      <c r="O244" s="24" t="s">
        <v>1772</v>
      </c>
      <c r="P244" s="24" t="s">
        <v>1773</v>
      </c>
      <c r="Q244" s="27"/>
      <c r="R244" s="27"/>
      <c r="S244" s="28" t="s">
        <v>1774</v>
      </c>
      <c r="T244" s="8" t="s">
        <v>1775</v>
      </c>
      <c r="U244" s="29" t="s">
        <v>1776</v>
      </c>
      <c r="V244" s="24" t="str">
        <f>iferror(VLOOKUP(A244,'tagging table'!A:G,7,0),"")</f>
        <v>Cashiers</v>
      </c>
    </row>
    <row r="245">
      <c r="A245" s="30">
        <v>43814.0</v>
      </c>
      <c r="B245" s="20" t="s">
        <v>1777</v>
      </c>
      <c r="C245" s="21">
        <v>0.07</v>
      </c>
      <c r="D245" s="21">
        <v>0.09</v>
      </c>
      <c r="E245" s="21">
        <v>0.07</v>
      </c>
      <c r="F245" s="22">
        <v>4.0</v>
      </c>
      <c r="G245" s="23"/>
      <c r="H245" s="24" t="s">
        <v>1778</v>
      </c>
      <c r="I245" s="21" t="s">
        <v>1779</v>
      </c>
      <c r="J245" s="24"/>
      <c r="K245" s="24" t="s">
        <v>1780</v>
      </c>
      <c r="L245" s="20" t="s">
        <v>1781</v>
      </c>
      <c r="M245" s="25" t="s">
        <v>1782</v>
      </c>
      <c r="N245" s="26" t="s">
        <v>28</v>
      </c>
      <c r="O245" s="24" t="s">
        <v>1783</v>
      </c>
      <c r="P245" s="24" t="s">
        <v>1784</v>
      </c>
      <c r="Q245" s="27"/>
      <c r="R245" s="27"/>
      <c r="S245" s="28" t="s">
        <v>1785</v>
      </c>
      <c r="T245" s="8" t="s">
        <v>1786</v>
      </c>
      <c r="U245" s="29" t="s">
        <v>1787</v>
      </c>
      <c r="V245" s="24" t="str">
        <f>iferror(VLOOKUP(A245,'tagging table'!A:G,7,0),"")</f>
        <v>Dairy</v>
      </c>
    </row>
    <row r="246">
      <c r="A246" s="30">
        <v>7.290004532161E12</v>
      </c>
      <c r="B246" s="20" t="s">
        <v>1788</v>
      </c>
      <c r="C246" s="21">
        <v>0.12</v>
      </c>
      <c r="D246" s="21">
        <v>0.18</v>
      </c>
      <c r="E246" s="21">
        <v>0.03</v>
      </c>
      <c r="F246" s="22">
        <v>10.0</v>
      </c>
      <c r="G246" s="23"/>
      <c r="H246" s="24" t="s">
        <v>1789</v>
      </c>
      <c r="I246" s="21" t="s">
        <v>1790</v>
      </c>
      <c r="J246" s="24"/>
      <c r="K246" s="24" t="s">
        <v>1791</v>
      </c>
      <c r="L246" s="20" t="s">
        <v>1792</v>
      </c>
      <c r="M246" s="25" t="s">
        <v>1793</v>
      </c>
      <c r="N246" s="26" t="s">
        <v>37</v>
      </c>
      <c r="O246" s="24" t="s">
        <v>1794</v>
      </c>
      <c r="P246" s="24" t="s">
        <v>1795</v>
      </c>
      <c r="Q246" s="27"/>
      <c r="R246" s="27"/>
      <c r="S246" s="28" t="s">
        <v>1796</v>
      </c>
      <c r="T246" s="8" t="s">
        <v>1797</v>
      </c>
      <c r="U246" s="29" t="e">
        <v>#N/A</v>
      </c>
      <c r="V246" s="21" t="s">
        <v>1798</v>
      </c>
    </row>
    <row r="247">
      <c r="A247" s="30">
        <v>7.290004532574E12</v>
      </c>
      <c r="B247" s="20" t="s">
        <v>1799</v>
      </c>
      <c r="C247" s="21">
        <v>0.12</v>
      </c>
      <c r="D247" s="21">
        <v>0.18</v>
      </c>
      <c r="E247" s="21">
        <v>0.03</v>
      </c>
      <c r="F247" s="22">
        <v>10.0</v>
      </c>
      <c r="G247" s="23"/>
      <c r="H247" s="24" t="s">
        <v>1789</v>
      </c>
      <c r="I247" s="21" t="s">
        <v>1790</v>
      </c>
      <c r="J247" s="24"/>
      <c r="K247" s="24" t="s">
        <v>1800</v>
      </c>
      <c r="L247" s="20" t="s">
        <v>1801</v>
      </c>
      <c r="M247" s="25" t="s">
        <v>1802</v>
      </c>
      <c r="N247" s="26" t="s">
        <v>37</v>
      </c>
      <c r="O247" s="24" t="s">
        <v>1794</v>
      </c>
      <c r="P247" s="24" t="s">
        <v>1803</v>
      </c>
      <c r="Q247" s="27"/>
      <c r="R247" s="27"/>
      <c r="S247" s="28" t="s">
        <v>1804</v>
      </c>
      <c r="T247" s="8" t="s">
        <v>1805</v>
      </c>
      <c r="U247" s="29" t="e">
        <v>#N/A</v>
      </c>
      <c r="V247" s="21" t="s">
        <v>1798</v>
      </c>
    </row>
    <row r="248">
      <c r="A248" s="30">
        <v>7.290008166775E12</v>
      </c>
      <c r="B248" s="20" t="s">
        <v>1806</v>
      </c>
      <c r="C248" s="21">
        <v>0.12</v>
      </c>
      <c r="D248" s="21">
        <v>0.18</v>
      </c>
      <c r="E248" s="21">
        <v>0.03</v>
      </c>
      <c r="F248" s="22">
        <v>10.0</v>
      </c>
      <c r="G248" s="23"/>
      <c r="H248" s="24" t="s">
        <v>1789</v>
      </c>
      <c r="I248" s="21" t="s">
        <v>1790</v>
      </c>
      <c r="J248" s="24"/>
      <c r="K248" s="24" t="s">
        <v>1807</v>
      </c>
      <c r="L248" s="20" t="s">
        <v>1808</v>
      </c>
      <c r="M248" s="25" t="s">
        <v>1809</v>
      </c>
      <c r="N248" s="26" t="s">
        <v>37</v>
      </c>
      <c r="O248" s="24" t="s">
        <v>1794</v>
      </c>
      <c r="P248" s="24" t="s">
        <v>1810</v>
      </c>
      <c r="Q248" s="27"/>
      <c r="R248" s="27"/>
      <c r="S248" s="28" t="s">
        <v>1811</v>
      </c>
      <c r="T248" s="8" t="s">
        <v>1812</v>
      </c>
      <c r="U248" s="29" t="e">
        <v>#N/A</v>
      </c>
      <c r="V248" s="21" t="s">
        <v>1798</v>
      </c>
    </row>
    <row r="249">
      <c r="A249" s="30">
        <v>7.290014241589E12</v>
      </c>
      <c r="B249" s="20" t="s">
        <v>1813</v>
      </c>
      <c r="C249" s="21">
        <v>0.12</v>
      </c>
      <c r="D249" s="21">
        <v>0.18</v>
      </c>
      <c r="E249" s="21">
        <v>0.03</v>
      </c>
      <c r="F249" s="22">
        <v>10.0</v>
      </c>
      <c r="G249" s="23"/>
      <c r="H249" s="24" t="s">
        <v>1789</v>
      </c>
      <c r="I249" s="21" t="s">
        <v>1790</v>
      </c>
      <c r="J249" s="24"/>
      <c r="K249" s="24" t="s">
        <v>1814</v>
      </c>
      <c r="L249" s="20" t="s">
        <v>1815</v>
      </c>
      <c r="M249" s="25" t="s">
        <v>1816</v>
      </c>
      <c r="N249" s="26" t="s">
        <v>28</v>
      </c>
      <c r="O249" s="24" t="s">
        <v>1794</v>
      </c>
      <c r="P249" s="24" t="s">
        <v>1795</v>
      </c>
      <c r="Q249" s="27"/>
      <c r="R249" s="27"/>
      <c r="S249" s="28" t="s">
        <v>1817</v>
      </c>
      <c r="T249" s="8" t="s">
        <v>1816</v>
      </c>
      <c r="U249" s="29" t="s">
        <v>1790</v>
      </c>
      <c r="V249" s="21" t="s">
        <v>1798</v>
      </c>
    </row>
    <row r="250">
      <c r="A250" s="30">
        <v>7.290004532369E12</v>
      </c>
      <c r="B250" s="20" t="s">
        <v>1818</v>
      </c>
      <c r="C250" s="21">
        <v>0.12</v>
      </c>
      <c r="D250" s="21">
        <v>0.18</v>
      </c>
      <c r="E250" s="21">
        <v>0.03</v>
      </c>
      <c r="F250" s="22">
        <v>10.0</v>
      </c>
      <c r="G250" s="23"/>
      <c r="H250" s="24" t="s">
        <v>1789</v>
      </c>
      <c r="I250" s="21" t="s">
        <v>1790</v>
      </c>
      <c r="J250" s="24"/>
      <c r="K250" s="24" t="s">
        <v>1819</v>
      </c>
      <c r="L250" s="20" t="s">
        <v>1820</v>
      </c>
      <c r="M250" s="25" t="s">
        <v>1821</v>
      </c>
      <c r="N250" s="26" t="s">
        <v>37</v>
      </c>
      <c r="O250" s="24" t="s">
        <v>1794</v>
      </c>
      <c r="P250" s="24" t="s">
        <v>1795</v>
      </c>
      <c r="Q250" s="27"/>
      <c r="R250" s="27"/>
      <c r="S250" s="28" t="s">
        <v>1822</v>
      </c>
      <c r="T250" s="8" t="s">
        <v>1823</v>
      </c>
      <c r="U250" s="29" t="e">
        <v>#N/A</v>
      </c>
      <c r="V250" s="21" t="s">
        <v>1798</v>
      </c>
    </row>
    <row r="251">
      <c r="A251" s="30">
        <v>7.290004532123E12</v>
      </c>
      <c r="B251" s="20" t="s">
        <v>1824</v>
      </c>
      <c r="C251" s="21">
        <v>0.12</v>
      </c>
      <c r="D251" s="21">
        <v>0.18</v>
      </c>
      <c r="E251" s="21">
        <v>0.03</v>
      </c>
      <c r="F251" s="22">
        <v>10.0</v>
      </c>
      <c r="G251" s="23"/>
      <c r="H251" s="24" t="s">
        <v>1789</v>
      </c>
      <c r="I251" s="21" t="s">
        <v>1790</v>
      </c>
      <c r="J251" s="24"/>
      <c r="K251" s="24" t="s">
        <v>1825</v>
      </c>
      <c r="L251" s="20" t="s">
        <v>1826</v>
      </c>
      <c r="M251" s="25" t="s">
        <v>1827</v>
      </c>
      <c r="N251" s="26" t="s">
        <v>37</v>
      </c>
      <c r="O251" s="24" t="s">
        <v>1794</v>
      </c>
      <c r="P251" s="24" t="s">
        <v>1828</v>
      </c>
      <c r="Q251" s="27"/>
      <c r="R251" s="27"/>
      <c r="S251" s="28" t="s">
        <v>1829</v>
      </c>
      <c r="T251" s="8" t="s">
        <v>1830</v>
      </c>
      <c r="U251" s="29" t="e">
        <v>#N/A</v>
      </c>
      <c r="V251" s="21" t="s">
        <v>1798</v>
      </c>
    </row>
    <row r="252">
      <c r="A252" s="30">
        <v>7.29000816601E12</v>
      </c>
      <c r="B252" s="20" t="s">
        <v>1831</v>
      </c>
      <c r="C252" s="21">
        <v>0.12</v>
      </c>
      <c r="D252" s="21">
        <v>0.18</v>
      </c>
      <c r="E252" s="21">
        <v>0.03</v>
      </c>
      <c r="F252" s="22">
        <v>10.0</v>
      </c>
      <c r="G252" s="23"/>
      <c r="H252" s="24" t="s">
        <v>1789</v>
      </c>
      <c r="I252" s="21" t="s">
        <v>1790</v>
      </c>
      <c r="J252" s="24"/>
      <c r="K252" s="24" t="s">
        <v>1832</v>
      </c>
      <c r="L252" s="20" t="s">
        <v>1833</v>
      </c>
      <c r="M252" s="25" t="s">
        <v>1834</v>
      </c>
      <c r="N252" s="26" t="s">
        <v>37</v>
      </c>
      <c r="O252" s="24" t="s">
        <v>1794</v>
      </c>
      <c r="P252" s="24" t="s">
        <v>1795</v>
      </c>
      <c r="Q252" s="27"/>
      <c r="R252" s="27"/>
      <c r="S252" s="28" t="s">
        <v>1835</v>
      </c>
      <c r="T252" s="8" t="s">
        <v>1836</v>
      </c>
      <c r="U252" s="29" t="e">
        <v>#N/A</v>
      </c>
      <c r="V252" s="21" t="s">
        <v>1798</v>
      </c>
    </row>
    <row r="253">
      <c r="A253" s="30">
        <v>7.290004532086E12</v>
      </c>
      <c r="B253" s="20" t="s">
        <v>1837</v>
      </c>
      <c r="C253" s="21">
        <v>0.12</v>
      </c>
      <c r="D253" s="21">
        <v>0.18</v>
      </c>
      <c r="E253" s="21">
        <v>0.03</v>
      </c>
      <c r="F253" s="22">
        <v>10.0</v>
      </c>
      <c r="G253" s="23"/>
      <c r="H253" s="24" t="s">
        <v>1789</v>
      </c>
      <c r="I253" s="21" t="s">
        <v>1790</v>
      </c>
      <c r="J253" s="24"/>
      <c r="K253" s="24" t="s">
        <v>1838</v>
      </c>
      <c r="L253" s="20" t="s">
        <v>1839</v>
      </c>
      <c r="M253" s="25" t="s">
        <v>1840</v>
      </c>
      <c r="N253" s="26" t="s">
        <v>37</v>
      </c>
      <c r="O253" s="24" t="s">
        <v>1794</v>
      </c>
      <c r="P253" s="24" t="s">
        <v>1841</v>
      </c>
      <c r="Q253" s="27"/>
      <c r="R253" s="27"/>
      <c r="S253" s="31" t="s">
        <v>1842</v>
      </c>
      <c r="T253" s="33" t="s">
        <v>1843</v>
      </c>
      <c r="U253" s="29" t="e">
        <v>#N/A</v>
      </c>
      <c r="V253" s="21" t="s">
        <v>1798</v>
      </c>
    </row>
    <row r="254">
      <c r="A254" s="30">
        <v>7.290004532581E12</v>
      </c>
      <c r="B254" s="20" t="s">
        <v>1844</v>
      </c>
      <c r="C254" s="21">
        <v>0.12</v>
      </c>
      <c r="D254" s="21">
        <v>0.18</v>
      </c>
      <c r="E254" s="21">
        <v>0.03</v>
      </c>
      <c r="F254" s="22">
        <v>10.0</v>
      </c>
      <c r="G254" s="23"/>
      <c r="H254" s="24" t="s">
        <v>1789</v>
      </c>
      <c r="I254" s="21" t="s">
        <v>1790</v>
      </c>
      <c r="J254" s="24"/>
      <c r="K254" s="24" t="s">
        <v>1845</v>
      </c>
      <c r="L254" s="20" t="s">
        <v>1846</v>
      </c>
      <c r="M254" s="25" t="s">
        <v>1847</v>
      </c>
      <c r="N254" s="26" t="s">
        <v>37</v>
      </c>
      <c r="O254" s="24" t="s">
        <v>1794</v>
      </c>
      <c r="P254" s="24" t="s">
        <v>1810</v>
      </c>
      <c r="Q254" s="27"/>
      <c r="R254" s="27"/>
      <c r="S254" s="28" t="s">
        <v>1848</v>
      </c>
      <c r="T254" s="8" t="s">
        <v>1849</v>
      </c>
      <c r="U254" s="29" t="e">
        <v>#N/A</v>
      </c>
      <c r="V254" s="21" t="s">
        <v>1798</v>
      </c>
    </row>
    <row r="255">
      <c r="A255" s="30">
        <v>7.29000453213E12</v>
      </c>
      <c r="B255" s="20" t="s">
        <v>1850</v>
      </c>
      <c r="C255" s="21">
        <v>0.12</v>
      </c>
      <c r="D255" s="21">
        <v>0.18</v>
      </c>
      <c r="E255" s="21">
        <v>0.03</v>
      </c>
      <c r="F255" s="22">
        <v>10.0</v>
      </c>
      <c r="G255" s="23"/>
      <c r="H255" s="24" t="s">
        <v>1789</v>
      </c>
      <c r="I255" s="21" t="s">
        <v>1790</v>
      </c>
      <c r="J255" s="24"/>
      <c r="K255" s="24" t="s">
        <v>1851</v>
      </c>
      <c r="L255" s="20" t="s">
        <v>1852</v>
      </c>
      <c r="M255" s="25" t="s">
        <v>1853</v>
      </c>
      <c r="N255" s="26" t="s">
        <v>37</v>
      </c>
      <c r="O255" s="24" t="s">
        <v>1794</v>
      </c>
      <c r="P255" s="24" t="s">
        <v>1854</v>
      </c>
      <c r="Q255" s="27"/>
      <c r="R255" s="27"/>
      <c r="S255" s="31" t="s">
        <v>1855</v>
      </c>
      <c r="T255" s="33" t="s">
        <v>1856</v>
      </c>
      <c r="U255" s="29" t="e">
        <v>#N/A</v>
      </c>
      <c r="V255" s="21" t="s">
        <v>1798</v>
      </c>
    </row>
    <row r="256">
      <c r="A256" s="30">
        <v>7.290004532062E12</v>
      </c>
      <c r="B256" s="20" t="s">
        <v>1857</v>
      </c>
      <c r="C256" s="21">
        <v>0.12</v>
      </c>
      <c r="D256" s="21">
        <v>0.18</v>
      </c>
      <c r="E256" s="21">
        <v>0.03</v>
      </c>
      <c r="F256" s="22">
        <v>10.0</v>
      </c>
      <c r="G256" s="23"/>
      <c r="H256" s="24" t="s">
        <v>1789</v>
      </c>
      <c r="I256" s="21" t="s">
        <v>1790</v>
      </c>
      <c r="J256" s="24"/>
      <c r="K256" s="24" t="s">
        <v>1858</v>
      </c>
      <c r="L256" s="20" t="s">
        <v>1859</v>
      </c>
      <c r="M256" s="25" t="s">
        <v>1860</v>
      </c>
      <c r="N256" s="26" t="s">
        <v>37</v>
      </c>
      <c r="O256" s="24" t="s">
        <v>1794</v>
      </c>
      <c r="P256" s="24" t="s">
        <v>1861</v>
      </c>
      <c r="Q256" s="27"/>
      <c r="R256" s="27"/>
      <c r="S256" s="28" t="s">
        <v>1862</v>
      </c>
      <c r="T256" s="8" t="s">
        <v>1863</v>
      </c>
      <c r="U256" s="29" t="e">
        <v>#N/A</v>
      </c>
      <c r="V256" s="21" t="s">
        <v>1798</v>
      </c>
    </row>
    <row r="257">
      <c r="A257" s="30">
        <v>8.712000050146E12</v>
      </c>
      <c r="B257" s="20" t="s">
        <v>1864</v>
      </c>
      <c r="C257" s="21">
        <v>0.06</v>
      </c>
      <c r="D257" s="21">
        <v>0.23</v>
      </c>
      <c r="E257" s="21">
        <v>0.06</v>
      </c>
      <c r="F257" s="22">
        <v>5.0</v>
      </c>
      <c r="G257" s="23"/>
      <c r="H257" s="24" t="s">
        <v>1865</v>
      </c>
      <c r="I257" s="21" t="s">
        <v>546</v>
      </c>
      <c r="J257" s="20" t="s">
        <v>361</v>
      </c>
      <c r="K257" s="24" t="s">
        <v>1866</v>
      </c>
      <c r="L257" s="20" t="s">
        <v>1867</v>
      </c>
      <c r="M257" s="25" t="s">
        <v>1868</v>
      </c>
      <c r="N257" s="26" t="s">
        <v>28</v>
      </c>
      <c r="O257" s="24" t="s">
        <v>1869</v>
      </c>
      <c r="P257" s="24" t="s">
        <v>1870</v>
      </c>
      <c r="Q257" s="27"/>
      <c r="R257" s="27"/>
      <c r="S257" s="31" t="s">
        <v>1871</v>
      </c>
      <c r="T257" s="33" t="s">
        <v>1872</v>
      </c>
      <c r="U257" s="29" t="s">
        <v>546</v>
      </c>
      <c r="V257" s="24" t="str">
        <f>iferror(VLOOKUP(A257,'tagging table'!A:G,7,0),"")</f>
        <v>Drinks</v>
      </c>
    </row>
    <row r="258">
      <c r="A258" s="30">
        <v>7.290010237685E12</v>
      </c>
      <c r="B258" s="20" t="s">
        <v>1873</v>
      </c>
      <c r="C258" s="21">
        <v>0.06</v>
      </c>
      <c r="D258" s="21">
        <v>0.23</v>
      </c>
      <c r="E258" s="21">
        <v>0.06</v>
      </c>
      <c r="F258" s="22">
        <v>5.0</v>
      </c>
      <c r="G258" s="23"/>
      <c r="H258" s="24" t="s">
        <v>1865</v>
      </c>
      <c r="I258" s="21" t="s">
        <v>546</v>
      </c>
      <c r="J258" s="20" t="s">
        <v>361</v>
      </c>
      <c r="K258" s="24" t="s">
        <v>1874</v>
      </c>
      <c r="L258" s="20" t="s">
        <v>1875</v>
      </c>
      <c r="M258" s="25" t="s">
        <v>1876</v>
      </c>
      <c r="N258" s="26" t="s">
        <v>28</v>
      </c>
      <c r="O258" s="24" t="s">
        <v>365</v>
      </c>
      <c r="P258" s="24" t="s">
        <v>536</v>
      </c>
      <c r="Q258" s="27"/>
      <c r="R258" s="27"/>
      <c r="S258" s="28" t="s">
        <v>1877</v>
      </c>
      <c r="T258" s="8" t="s">
        <v>1878</v>
      </c>
      <c r="U258" s="29" t="s">
        <v>546</v>
      </c>
      <c r="V258" s="24" t="str">
        <f>iferror(VLOOKUP(A258,'tagging table'!A:G,7,0),"")</f>
        <v>Drinks</v>
      </c>
    </row>
    <row r="259">
      <c r="A259" s="30">
        <v>7.290008464604E12</v>
      </c>
      <c r="B259" s="20" t="s">
        <v>1879</v>
      </c>
      <c r="C259" s="21">
        <v>0.065</v>
      </c>
      <c r="D259" s="21">
        <v>0.17</v>
      </c>
      <c r="E259" s="21">
        <v>0.065</v>
      </c>
      <c r="F259" s="22">
        <v>5.0</v>
      </c>
      <c r="G259" s="23"/>
      <c r="H259" s="24" t="s">
        <v>1865</v>
      </c>
      <c r="I259" s="21" t="s">
        <v>546</v>
      </c>
      <c r="J259" s="20" t="s">
        <v>361</v>
      </c>
      <c r="K259" s="24" t="s">
        <v>1880</v>
      </c>
      <c r="L259" s="20" t="s">
        <v>1881</v>
      </c>
      <c r="M259" s="25" t="s">
        <v>1882</v>
      </c>
      <c r="N259" s="26" t="s">
        <v>37</v>
      </c>
      <c r="O259" s="24" t="s">
        <v>365</v>
      </c>
      <c r="P259" s="24" t="s">
        <v>543</v>
      </c>
      <c r="Q259" s="27"/>
      <c r="R259" s="27"/>
      <c r="S259" s="31" t="s">
        <v>1883</v>
      </c>
      <c r="T259" s="33" t="s">
        <v>1884</v>
      </c>
      <c r="U259" s="29" t="e">
        <v>#N/A</v>
      </c>
      <c r="V259" s="21" t="s">
        <v>573</v>
      </c>
    </row>
    <row r="260">
      <c r="A260" s="30">
        <v>7.290110563448E12</v>
      </c>
      <c r="B260" s="20" t="s">
        <v>1885</v>
      </c>
      <c r="C260" s="21">
        <v>0.08</v>
      </c>
      <c r="D260" s="21">
        <v>0.13</v>
      </c>
      <c r="E260" s="21">
        <v>0.08</v>
      </c>
      <c r="F260" s="22">
        <v>4.0</v>
      </c>
      <c r="G260" s="23"/>
      <c r="H260" s="32" t="s">
        <v>695</v>
      </c>
      <c r="I260" s="21" t="s">
        <v>1886</v>
      </c>
      <c r="J260" s="24"/>
      <c r="K260" s="24" t="s">
        <v>1887</v>
      </c>
      <c r="L260" s="20" t="s">
        <v>1888</v>
      </c>
      <c r="M260" s="25" t="s">
        <v>1889</v>
      </c>
      <c r="N260" s="26" t="s">
        <v>28</v>
      </c>
      <c r="O260" s="24" t="s">
        <v>700</v>
      </c>
      <c r="P260" s="24" t="s">
        <v>1078</v>
      </c>
      <c r="Q260" s="27"/>
      <c r="R260" s="27"/>
      <c r="S260" s="31" t="s">
        <v>1890</v>
      </c>
      <c r="T260" s="8" t="s">
        <v>1891</v>
      </c>
      <c r="U260" s="29" t="s">
        <v>1886</v>
      </c>
      <c r="V260" s="24" t="str">
        <f>iferror(VLOOKUP(A260,'tagging table'!A:G,7,0),"")</f>
        <v>Dairy</v>
      </c>
    </row>
    <row r="261">
      <c r="A261" s="30">
        <v>7.290110563431E12</v>
      </c>
      <c r="B261" s="20" t="s">
        <v>1892</v>
      </c>
      <c r="C261" s="21">
        <v>0.08</v>
      </c>
      <c r="D261" s="21">
        <v>0.13</v>
      </c>
      <c r="E261" s="21">
        <v>0.08</v>
      </c>
      <c r="F261" s="22">
        <v>4.0</v>
      </c>
      <c r="G261" s="23"/>
      <c r="H261" s="32" t="s">
        <v>695</v>
      </c>
      <c r="I261" s="21" t="s">
        <v>1886</v>
      </c>
      <c r="J261" s="24"/>
      <c r="K261" s="24" t="s">
        <v>1893</v>
      </c>
      <c r="L261" s="20" t="s">
        <v>1894</v>
      </c>
      <c r="M261" s="25" t="s">
        <v>1895</v>
      </c>
      <c r="N261" s="26" t="s">
        <v>28</v>
      </c>
      <c r="O261" s="24" t="s">
        <v>700</v>
      </c>
      <c r="P261" s="24" t="s">
        <v>1078</v>
      </c>
      <c r="Q261" s="27"/>
      <c r="R261" s="27"/>
      <c r="S261" s="28" t="s">
        <v>1896</v>
      </c>
      <c r="T261" s="8" t="s">
        <v>1897</v>
      </c>
      <c r="U261" s="29" t="s">
        <v>1886</v>
      </c>
      <c r="V261" s="24" t="str">
        <f>iferror(VLOOKUP(A261,'tagging table'!A:G,7,0),"")</f>
        <v>Dairy</v>
      </c>
    </row>
    <row r="262">
      <c r="A262" s="30">
        <v>7.290110564742E12</v>
      </c>
      <c r="B262" s="20" t="s">
        <v>1898</v>
      </c>
      <c r="C262" s="21">
        <v>0.08</v>
      </c>
      <c r="D262" s="21">
        <v>0.13</v>
      </c>
      <c r="E262" s="21">
        <v>0.08</v>
      </c>
      <c r="F262" s="22">
        <v>4.0</v>
      </c>
      <c r="G262" s="23"/>
      <c r="H262" s="32" t="s">
        <v>695</v>
      </c>
      <c r="I262" s="21" t="s">
        <v>1886</v>
      </c>
      <c r="J262" s="24"/>
      <c r="K262" s="24" t="s">
        <v>1899</v>
      </c>
      <c r="L262" s="20" t="s">
        <v>1900</v>
      </c>
      <c r="M262" s="25" t="s">
        <v>1901</v>
      </c>
      <c r="N262" s="26" t="s">
        <v>28</v>
      </c>
      <c r="O262" s="24" t="s">
        <v>700</v>
      </c>
      <c r="P262" s="24" t="s">
        <v>1078</v>
      </c>
      <c r="Q262" s="27"/>
      <c r="R262" s="27"/>
      <c r="S262" s="31" t="s">
        <v>1902</v>
      </c>
      <c r="T262" s="33" t="s">
        <v>1903</v>
      </c>
      <c r="U262" s="29" t="s">
        <v>1886</v>
      </c>
      <c r="V262" s="24" t="str">
        <f>iferror(VLOOKUP(A262,'tagging table'!A:G,7,0),"")</f>
        <v>Dairy</v>
      </c>
    </row>
    <row r="263">
      <c r="A263" s="30">
        <v>8.003753158587E12</v>
      </c>
      <c r="B263" s="20" t="s">
        <v>1904</v>
      </c>
      <c r="C263" s="21">
        <v>0.09</v>
      </c>
      <c r="D263" s="21">
        <v>0.195</v>
      </c>
      <c r="E263" s="21">
        <v>0.13</v>
      </c>
      <c r="F263" s="22">
        <v>2.0</v>
      </c>
      <c r="G263" s="23"/>
      <c r="H263" s="24" t="s">
        <v>1905</v>
      </c>
      <c r="I263" s="21" t="s">
        <v>1906</v>
      </c>
      <c r="J263" s="24"/>
      <c r="K263" s="24" t="s">
        <v>1907</v>
      </c>
      <c r="L263" s="20" t="s">
        <v>1908</v>
      </c>
      <c r="M263" s="25" t="s">
        <v>1909</v>
      </c>
      <c r="N263" s="26" t="s">
        <v>28</v>
      </c>
      <c r="O263" s="24" t="s">
        <v>1222</v>
      </c>
      <c r="P263" s="24" t="s">
        <v>1223</v>
      </c>
      <c r="Q263" s="27"/>
      <c r="R263" s="27"/>
      <c r="S263" s="31" t="s">
        <v>1910</v>
      </c>
      <c r="T263" s="33" t="s">
        <v>1911</v>
      </c>
      <c r="U263" s="29" t="s">
        <v>1256</v>
      </c>
      <c r="V263" s="24" t="str">
        <f>VLOOKUP(A263,'tagging table'!A:G,7,0)</f>
        <v>Hot Beverage</v>
      </c>
    </row>
    <row r="264">
      <c r="A264" s="30">
        <v>8.39762000658E11</v>
      </c>
      <c r="B264" s="20" t="s">
        <v>1912</v>
      </c>
      <c r="C264" s="21">
        <v>0.08</v>
      </c>
      <c r="D264" s="21">
        <v>0.26</v>
      </c>
      <c r="E264" s="21">
        <v>0.08</v>
      </c>
      <c r="F264" s="22">
        <v>4.0</v>
      </c>
      <c r="G264" s="23"/>
      <c r="H264" s="24" t="s">
        <v>1913</v>
      </c>
      <c r="I264" s="21" t="s">
        <v>1914</v>
      </c>
      <c r="J264" s="20" t="s">
        <v>1914</v>
      </c>
      <c r="K264" s="24" t="s">
        <v>1915</v>
      </c>
      <c r="L264" s="20" t="s">
        <v>1916</v>
      </c>
      <c r="M264" s="25" t="s">
        <v>1917</v>
      </c>
      <c r="N264" s="26" t="s">
        <v>28</v>
      </c>
      <c r="O264" s="24" t="s">
        <v>1555</v>
      </c>
      <c r="P264" s="24" t="s">
        <v>1918</v>
      </c>
      <c r="Q264" s="27"/>
      <c r="R264" s="27"/>
      <c r="S264" s="28" t="s">
        <v>1919</v>
      </c>
      <c r="T264" s="8" t="s">
        <v>1920</v>
      </c>
      <c r="U264" s="29" t="s">
        <v>1914</v>
      </c>
      <c r="V264" s="24" t="str">
        <f>VLOOKUP(A264,'tagging table'!A:G,7,0)</f>
        <v>Drinks</v>
      </c>
    </row>
    <row r="265">
      <c r="A265" s="30">
        <v>8.39762002386E11</v>
      </c>
      <c r="B265" s="20" t="s">
        <v>1921</v>
      </c>
      <c r="C265" s="21">
        <v>0.06</v>
      </c>
      <c r="D265" s="21">
        <v>0.195</v>
      </c>
      <c r="E265" s="21">
        <v>0.06</v>
      </c>
      <c r="F265" s="22">
        <v>5.0</v>
      </c>
      <c r="G265" s="23"/>
      <c r="H265" s="24" t="s">
        <v>1913</v>
      </c>
      <c r="I265" s="21" t="s">
        <v>1914</v>
      </c>
      <c r="J265" s="20" t="s">
        <v>1914</v>
      </c>
      <c r="K265" s="24" t="s">
        <v>1922</v>
      </c>
      <c r="L265" s="20" t="s">
        <v>1923</v>
      </c>
      <c r="M265" s="25" t="s">
        <v>1924</v>
      </c>
      <c r="N265" s="26" t="s">
        <v>28</v>
      </c>
      <c r="O265" s="24" t="s">
        <v>1555</v>
      </c>
      <c r="P265" s="24" t="s">
        <v>1556</v>
      </c>
      <c r="Q265" s="27"/>
      <c r="R265" s="27"/>
      <c r="S265" s="28" t="s">
        <v>1925</v>
      </c>
      <c r="T265" s="8" t="s">
        <v>1926</v>
      </c>
      <c r="U265" s="29" t="s">
        <v>1914</v>
      </c>
      <c r="V265" s="24" t="str">
        <f>VLOOKUP(A265,'tagging table'!A:G,7,0)</f>
        <v>Drinks</v>
      </c>
    </row>
    <row r="266">
      <c r="A266" s="30">
        <v>8.39762000641E11</v>
      </c>
      <c r="B266" s="20" t="s">
        <v>1927</v>
      </c>
      <c r="C266" s="21">
        <v>0.08</v>
      </c>
      <c r="D266" s="21">
        <v>0.26</v>
      </c>
      <c r="E266" s="21">
        <v>0.08</v>
      </c>
      <c r="F266" s="22">
        <v>4.0</v>
      </c>
      <c r="G266" s="23"/>
      <c r="H266" s="24" t="s">
        <v>1913</v>
      </c>
      <c r="I266" s="21" t="s">
        <v>1914</v>
      </c>
      <c r="J266" s="20" t="s">
        <v>1914</v>
      </c>
      <c r="K266" s="24" t="s">
        <v>1928</v>
      </c>
      <c r="L266" s="20" t="s">
        <v>1929</v>
      </c>
      <c r="M266" s="25" t="s">
        <v>1930</v>
      </c>
      <c r="N266" s="26" t="s">
        <v>28</v>
      </c>
      <c r="O266" s="24" t="s">
        <v>1555</v>
      </c>
      <c r="P266" s="24" t="s">
        <v>1918</v>
      </c>
      <c r="Q266" s="27"/>
      <c r="R266" s="27"/>
      <c r="S266" s="28" t="s">
        <v>1931</v>
      </c>
      <c r="T266" s="8" t="s">
        <v>1932</v>
      </c>
      <c r="U266" s="29" t="s">
        <v>1914</v>
      </c>
      <c r="V266" s="24" t="str">
        <f>VLOOKUP(A266,'tagging table'!A:G,7,0)</f>
        <v>Drinks</v>
      </c>
    </row>
    <row r="267">
      <c r="A267" s="30">
        <v>8.39762002379E11</v>
      </c>
      <c r="B267" s="20" t="s">
        <v>1933</v>
      </c>
      <c r="C267" s="21">
        <v>0.06</v>
      </c>
      <c r="D267" s="21">
        <v>0.195</v>
      </c>
      <c r="E267" s="21">
        <v>0.06</v>
      </c>
      <c r="F267" s="22">
        <v>5.0</v>
      </c>
      <c r="G267" s="23"/>
      <c r="H267" s="24" t="s">
        <v>1913</v>
      </c>
      <c r="I267" s="21" t="s">
        <v>1914</v>
      </c>
      <c r="J267" s="20" t="s">
        <v>1914</v>
      </c>
      <c r="K267" s="24" t="s">
        <v>1934</v>
      </c>
      <c r="L267" s="20" t="s">
        <v>1935</v>
      </c>
      <c r="M267" s="25" t="s">
        <v>1936</v>
      </c>
      <c r="N267" s="26" t="s">
        <v>28</v>
      </c>
      <c r="O267" s="24" t="s">
        <v>1555</v>
      </c>
      <c r="P267" s="24" t="s">
        <v>1556</v>
      </c>
      <c r="Q267" s="27"/>
      <c r="R267" s="27"/>
      <c r="S267" s="31" t="s">
        <v>1937</v>
      </c>
      <c r="T267" s="8" t="s">
        <v>1938</v>
      </c>
      <c r="U267" s="29" t="s">
        <v>1914</v>
      </c>
      <c r="V267" s="24" t="str">
        <f>VLOOKUP(A267,'tagging table'!A:G,7,0)</f>
        <v>Drinks</v>
      </c>
    </row>
    <row r="268">
      <c r="A268" s="30">
        <v>8.714599513828E12</v>
      </c>
      <c r="B268" s="20" t="s">
        <v>1939</v>
      </c>
      <c r="C268" s="21">
        <v>0.061</v>
      </c>
      <c r="D268" s="21">
        <v>0.09999999</v>
      </c>
      <c r="E268" s="21">
        <v>0.02</v>
      </c>
      <c r="F268" s="22">
        <v>15.0</v>
      </c>
      <c r="G268" s="23"/>
      <c r="H268" s="24" t="s">
        <v>1940</v>
      </c>
      <c r="I268" s="21" t="s">
        <v>1941</v>
      </c>
      <c r="J268" s="24"/>
      <c r="K268" s="24" t="s">
        <v>1942</v>
      </c>
      <c r="L268" s="20" t="s">
        <v>1943</v>
      </c>
      <c r="M268" s="25" t="s">
        <v>1944</v>
      </c>
      <c r="N268" s="26" t="s">
        <v>28</v>
      </c>
      <c r="O268" s="24" t="s">
        <v>1262</v>
      </c>
      <c r="P268" s="24" t="s">
        <v>1945</v>
      </c>
      <c r="Q268" s="27"/>
      <c r="R268" s="27"/>
      <c r="S268" s="28" t="s">
        <v>1946</v>
      </c>
      <c r="T268" s="8" t="s">
        <v>1947</v>
      </c>
      <c r="U268" s="29" t="s">
        <v>1948</v>
      </c>
      <c r="V268" s="24" t="str">
        <f>VLOOKUP(A268,'tagging table'!A:G,7,0)</f>
        <v>Hot Beverage</v>
      </c>
    </row>
    <row r="269">
      <c r="A269" s="30">
        <v>7.501013101355E12</v>
      </c>
      <c r="B269" s="20" t="s">
        <v>1949</v>
      </c>
      <c r="C269" s="21">
        <v>0.068</v>
      </c>
      <c r="D269" s="21">
        <v>0.175</v>
      </c>
      <c r="E269" s="21">
        <v>0.068</v>
      </c>
      <c r="F269" s="22">
        <v>4.0</v>
      </c>
      <c r="G269" s="23"/>
      <c r="H269" s="24" t="s">
        <v>1950</v>
      </c>
      <c r="I269" s="21" t="s">
        <v>1951</v>
      </c>
      <c r="J269" s="20" t="s">
        <v>1641</v>
      </c>
      <c r="K269" s="24" t="s">
        <v>1952</v>
      </c>
      <c r="L269" s="20" t="s">
        <v>1953</v>
      </c>
      <c r="M269" s="25" t="s">
        <v>1954</v>
      </c>
      <c r="N269" s="26" t="s">
        <v>28</v>
      </c>
      <c r="O269" s="24" t="s">
        <v>1555</v>
      </c>
      <c r="P269" s="24" t="s">
        <v>1556</v>
      </c>
      <c r="Q269" s="27"/>
      <c r="R269" s="27"/>
      <c r="S269" s="31" t="s">
        <v>1955</v>
      </c>
      <c r="T269" s="8" t="s">
        <v>1956</v>
      </c>
      <c r="U269" s="29" t="s">
        <v>1951</v>
      </c>
      <c r="V269" s="24" t="str">
        <f>VLOOKUP(A269,'tagging table'!A:G,7,0)</f>
        <v>Drinks</v>
      </c>
    </row>
    <row r="270">
      <c r="A270" s="30">
        <v>7.501013122114E12</v>
      </c>
      <c r="B270" s="20" t="s">
        <v>1957</v>
      </c>
      <c r="C270" s="21">
        <v>0.08</v>
      </c>
      <c r="D270" s="21">
        <v>0.24</v>
      </c>
      <c r="E270" s="21">
        <v>0.07</v>
      </c>
      <c r="F270" s="22">
        <v>4.0</v>
      </c>
      <c r="G270" s="23"/>
      <c r="H270" s="24" t="s">
        <v>1950</v>
      </c>
      <c r="I270" s="21" t="s">
        <v>1951</v>
      </c>
      <c r="J270" s="20" t="s">
        <v>1641</v>
      </c>
      <c r="K270" s="24" t="s">
        <v>1958</v>
      </c>
      <c r="L270" s="20" t="s">
        <v>1959</v>
      </c>
      <c r="M270" s="25" t="s">
        <v>1960</v>
      </c>
      <c r="N270" s="26" t="s">
        <v>28</v>
      </c>
      <c r="O270" s="24" t="s">
        <v>1555</v>
      </c>
      <c r="P270" s="24" t="s">
        <v>1918</v>
      </c>
      <c r="Q270" s="27"/>
      <c r="R270" s="27"/>
      <c r="S270" s="31" t="s">
        <v>1961</v>
      </c>
      <c r="T270" s="33" t="s">
        <v>1962</v>
      </c>
      <c r="U270" s="29" t="s">
        <v>1951</v>
      </c>
      <c r="V270" s="24" t="str">
        <f>VLOOKUP(A270,'tagging table'!A:G,7,0)</f>
        <v>Drinks</v>
      </c>
    </row>
    <row r="271">
      <c r="A271" s="30">
        <v>7.501013122039E12</v>
      </c>
      <c r="B271" s="20" t="s">
        <v>1963</v>
      </c>
      <c r="C271" s="21">
        <v>0.08</v>
      </c>
      <c r="D271" s="21">
        <v>0.24</v>
      </c>
      <c r="E271" s="21">
        <v>0.07</v>
      </c>
      <c r="F271" s="22">
        <v>4.0</v>
      </c>
      <c r="G271" s="23"/>
      <c r="H271" s="24" t="s">
        <v>1950</v>
      </c>
      <c r="I271" s="21" t="s">
        <v>1951</v>
      </c>
      <c r="J271" s="20" t="s">
        <v>1641</v>
      </c>
      <c r="K271" s="24" t="s">
        <v>1964</v>
      </c>
      <c r="L271" s="20" t="s">
        <v>1965</v>
      </c>
      <c r="M271" s="25" t="s">
        <v>1966</v>
      </c>
      <c r="N271" s="26" t="s">
        <v>28</v>
      </c>
      <c r="O271" s="24" t="s">
        <v>1555</v>
      </c>
      <c r="P271" s="24" t="s">
        <v>1918</v>
      </c>
      <c r="Q271" s="27"/>
      <c r="R271" s="27"/>
      <c r="S271" s="31" t="s">
        <v>1967</v>
      </c>
      <c r="T271" s="33" t="s">
        <v>1968</v>
      </c>
      <c r="U271" s="29" t="s">
        <v>1951</v>
      </c>
      <c r="V271" s="24" t="str">
        <f>VLOOKUP(A271,'tagging table'!A:G,7,0)</f>
        <v>Drinks</v>
      </c>
    </row>
    <row r="272">
      <c r="A272" s="30">
        <v>7.501013122053E12</v>
      </c>
      <c r="B272" s="20" t="s">
        <v>1969</v>
      </c>
      <c r="C272" s="21">
        <v>0.08</v>
      </c>
      <c r="D272" s="21">
        <v>0.24</v>
      </c>
      <c r="E272" s="21">
        <v>0.07</v>
      </c>
      <c r="F272" s="22">
        <v>4.0</v>
      </c>
      <c r="G272" s="23"/>
      <c r="H272" s="24" t="s">
        <v>1950</v>
      </c>
      <c r="I272" s="21" t="s">
        <v>1951</v>
      </c>
      <c r="J272" s="20" t="s">
        <v>1641</v>
      </c>
      <c r="K272" s="24" t="s">
        <v>1970</v>
      </c>
      <c r="L272" s="20" t="s">
        <v>1971</v>
      </c>
      <c r="M272" s="25" t="s">
        <v>1972</v>
      </c>
      <c r="N272" s="26" t="s">
        <v>28</v>
      </c>
      <c r="O272" s="24" t="s">
        <v>1555</v>
      </c>
      <c r="P272" s="24" t="s">
        <v>1918</v>
      </c>
      <c r="Q272" s="27"/>
      <c r="R272" s="27"/>
      <c r="S272" s="31" t="s">
        <v>1973</v>
      </c>
      <c r="T272" s="33" t="s">
        <v>1974</v>
      </c>
      <c r="U272" s="29" t="s">
        <v>1951</v>
      </c>
      <c r="V272" s="24" t="str">
        <f>VLOOKUP(A272,'tagging table'!A:G,7,0)</f>
        <v>Drinks</v>
      </c>
    </row>
    <row r="273">
      <c r="A273" s="30">
        <v>7.501013101348E12</v>
      </c>
      <c r="B273" s="20" t="s">
        <v>1975</v>
      </c>
      <c r="C273" s="21">
        <v>0.068</v>
      </c>
      <c r="D273" s="21">
        <v>0.175</v>
      </c>
      <c r="E273" s="21">
        <v>0.068</v>
      </c>
      <c r="F273" s="22">
        <v>4.0</v>
      </c>
      <c r="G273" s="23"/>
      <c r="H273" s="24" t="s">
        <v>1950</v>
      </c>
      <c r="I273" s="21" t="s">
        <v>1951</v>
      </c>
      <c r="J273" s="20" t="s">
        <v>1641</v>
      </c>
      <c r="K273" s="24" t="s">
        <v>1976</v>
      </c>
      <c r="L273" s="20" t="s">
        <v>1977</v>
      </c>
      <c r="M273" s="25" t="s">
        <v>1978</v>
      </c>
      <c r="N273" s="26" t="s">
        <v>28</v>
      </c>
      <c r="O273" s="24" t="s">
        <v>1555</v>
      </c>
      <c r="P273" s="24" t="s">
        <v>1556</v>
      </c>
      <c r="Q273" s="27"/>
      <c r="R273" s="27"/>
      <c r="S273" s="28" t="s">
        <v>1979</v>
      </c>
      <c r="T273" s="8" t="s">
        <v>1980</v>
      </c>
      <c r="U273" s="29" t="s">
        <v>1951</v>
      </c>
      <c r="V273" s="24" t="str">
        <f>VLOOKUP(A273,'tagging table'!A:G,7,0)</f>
        <v>Drinks</v>
      </c>
    </row>
    <row r="274">
      <c r="A274" s="30">
        <v>7.501013101393E12</v>
      </c>
      <c r="B274" s="20" t="s">
        <v>1981</v>
      </c>
      <c r="C274" s="21">
        <v>0.068</v>
      </c>
      <c r="D274" s="21">
        <v>0.175</v>
      </c>
      <c r="E274" s="21">
        <v>0.068</v>
      </c>
      <c r="F274" s="22">
        <v>4.0</v>
      </c>
      <c r="G274" s="23"/>
      <c r="H274" s="24" t="s">
        <v>1950</v>
      </c>
      <c r="I274" s="21" t="s">
        <v>1951</v>
      </c>
      <c r="J274" s="20" t="s">
        <v>1641</v>
      </c>
      <c r="K274" s="24" t="s">
        <v>1982</v>
      </c>
      <c r="L274" s="20" t="s">
        <v>1983</v>
      </c>
      <c r="M274" s="25" t="s">
        <v>1984</v>
      </c>
      <c r="N274" s="26" t="s">
        <v>28</v>
      </c>
      <c r="O274" s="24" t="s">
        <v>1555</v>
      </c>
      <c r="P274" s="24" t="s">
        <v>1556</v>
      </c>
      <c r="Q274" s="27"/>
      <c r="R274" s="27"/>
      <c r="S274" s="28" t="s">
        <v>1985</v>
      </c>
      <c r="T274" s="8" t="s">
        <v>1986</v>
      </c>
      <c r="U274" s="29" t="s">
        <v>1951</v>
      </c>
      <c r="V274" s="24" t="str">
        <f>VLOOKUP(A274,'tagging table'!A:G,7,0)</f>
        <v>Drinks</v>
      </c>
    </row>
    <row r="275">
      <c r="A275" s="30">
        <v>7.501013122992E12</v>
      </c>
      <c r="B275" s="20" t="s">
        <v>1987</v>
      </c>
      <c r="C275" s="21">
        <v>0.08</v>
      </c>
      <c r="D275" s="21">
        <v>0.24</v>
      </c>
      <c r="E275" s="21">
        <v>0.07</v>
      </c>
      <c r="F275" s="22">
        <v>4.0</v>
      </c>
      <c r="G275" s="23"/>
      <c r="H275" s="24" t="s">
        <v>1950</v>
      </c>
      <c r="I275" s="21" t="s">
        <v>1951</v>
      </c>
      <c r="J275" s="20" t="s">
        <v>1641</v>
      </c>
      <c r="K275" s="24" t="s">
        <v>1988</v>
      </c>
      <c r="L275" s="20" t="s">
        <v>1989</v>
      </c>
      <c r="M275" s="25" t="s">
        <v>1990</v>
      </c>
      <c r="N275" s="26" t="s">
        <v>28</v>
      </c>
      <c r="O275" s="24" t="s">
        <v>1555</v>
      </c>
      <c r="P275" s="24" t="s">
        <v>1918</v>
      </c>
      <c r="Q275" s="27"/>
      <c r="R275" s="27"/>
      <c r="S275" s="28" t="s">
        <v>1991</v>
      </c>
      <c r="T275" s="8" t="s">
        <v>1992</v>
      </c>
      <c r="U275" s="29" t="s">
        <v>1951</v>
      </c>
      <c r="V275" s="24" t="str">
        <f>VLOOKUP(A275,'tagging table'!A:G,7,0)</f>
        <v>Drinks</v>
      </c>
    </row>
    <row r="276">
      <c r="A276" s="30">
        <v>7.501013101362E12</v>
      </c>
      <c r="B276" s="20" t="s">
        <v>1993</v>
      </c>
      <c r="C276" s="21">
        <v>0.068</v>
      </c>
      <c r="D276" s="21">
        <v>0.175</v>
      </c>
      <c r="E276" s="21">
        <v>0.068</v>
      </c>
      <c r="F276" s="22">
        <v>4.0</v>
      </c>
      <c r="G276" s="23"/>
      <c r="H276" s="24" t="s">
        <v>1994</v>
      </c>
      <c r="I276" s="21" t="s">
        <v>1951</v>
      </c>
      <c r="J276" s="20" t="s">
        <v>1641</v>
      </c>
      <c r="K276" s="24" t="s">
        <v>1995</v>
      </c>
      <c r="L276" s="20" t="s">
        <v>1996</v>
      </c>
      <c r="M276" s="25" t="s">
        <v>1997</v>
      </c>
      <c r="N276" s="26" t="s">
        <v>28</v>
      </c>
      <c r="O276" s="24" t="s">
        <v>1555</v>
      </c>
      <c r="P276" s="24" t="s">
        <v>1556</v>
      </c>
      <c r="Q276" s="27"/>
      <c r="R276" s="27"/>
      <c r="S276" s="28" t="s">
        <v>1998</v>
      </c>
      <c r="T276" s="8" t="s">
        <v>1999</v>
      </c>
      <c r="U276" s="29" t="s">
        <v>1951</v>
      </c>
      <c r="V276" s="24" t="str">
        <f>VLOOKUP(A276,'tagging table'!A:G,7,0)</f>
        <v>Drinks</v>
      </c>
    </row>
    <row r="277">
      <c r="A277" s="30">
        <v>7.501013101447E12</v>
      </c>
      <c r="B277" s="20" t="s">
        <v>2000</v>
      </c>
      <c r="C277" s="21">
        <v>0.068</v>
      </c>
      <c r="D277" s="21">
        <v>0.175</v>
      </c>
      <c r="E277" s="21">
        <v>0.068</v>
      </c>
      <c r="F277" s="22">
        <v>4.0</v>
      </c>
      <c r="G277" s="23"/>
      <c r="H277" s="24" t="s">
        <v>2001</v>
      </c>
      <c r="I277" s="21" t="s">
        <v>1951</v>
      </c>
      <c r="J277" s="20" t="s">
        <v>1641</v>
      </c>
      <c r="K277" s="24" t="s">
        <v>2002</v>
      </c>
      <c r="L277" s="20" t="s">
        <v>2003</v>
      </c>
      <c r="M277" s="25" t="s">
        <v>2004</v>
      </c>
      <c r="N277" s="26" t="s">
        <v>28</v>
      </c>
      <c r="O277" s="24" t="s">
        <v>1555</v>
      </c>
      <c r="P277" s="24" t="s">
        <v>1556</v>
      </c>
      <c r="Q277" s="27"/>
      <c r="R277" s="27"/>
      <c r="S277" s="28" t="s">
        <v>2005</v>
      </c>
      <c r="T277" s="8" t="s">
        <v>2006</v>
      </c>
      <c r="U277" s="29" t="s">
        <v>1951</v>
      </c>
      <c r="V277" s="24" t="str">
        <f>iferror(VLOOKUP(A277,'tagging table'!A:G,7,0),"")</f>
        <v>Drinks</v>
      </c>
    </row>
    <row r="278">
      <c r="A278" s="30">
        <v>7.290008464963E12</v>
      </c>
      <c r="B278" s="20" t="s">
        <v>2007</v>
      </c>
      <c r="C278" s="21">
        <v>0.06</v>
      </c>
      <c r="D278" s="21">
        <v>0.193</v>
      </c>
      <c r="E278" s="21">
        <v>0.06</v>
      </c>
      <c r="F278" s="22">
        <v>5.0</v>
      </c>
      <c r="G278" s="23"/>
      <c r="H278" s="24" t="s">
        <v>2008</v>
      </c>
      <c r="I278" s="21" t="s">
        <v>2009</v>
      </c>
      <c r="J278" s="20" t="s">
        <v>1641</v>
      </c>
      <c r="K278" s="24" t="s">
        <v>2010</v>
      </c>
      <c r="L278" s="20" t="s">
        <v>2011</v>
      </c>
      <c r="M278" s="25" t="s">
        <v>2012</v>
      </c>
      <c r="N278" s="26" t="s">
        <v>37</v>
      </c>
      <c r="O278" s="24" t="s">
        <v>1555</v>
      </c>
      <c r="P278" s="24" t="s">
        <v>1556</v>
      </c>
      <c r="Q278" s="27"/>
      <c r="R278" s="27"/>
      <c r="S278" s="28" t="s">
        <v>2013</v>
      </c>
      <c r="T278" s="8" t="s">
        <v>2014</v>
      </c>
      <c r="U278" s="29" t="e">
        <v>#N/A</v>
      </c>
      <c r="V278" s="21" t="s">
        <v>573</v>
      </c>
    </row>
    <row r="279">
      <c r="A279" s="30">
        <v>7.290008464895E12</v>
      </c>
      <c r="B279" s="20" t="s">
        <v>2015</v>
      </c>
      <c r="C279" s="21">
        <v>0.06</v>
      </c>
      <c r="D279" s="21">
        <v>0.193</v>
      </c>
      <c r="E279" s="21">
        <v>0.06</v>
      </c>
      <c r="F279" s="22">
        <v>5.0</v>
      </c>
      <c r="G279" s="23"/>
      <c r="H279" s="24" t="s">
        <v>2008</v>
      </c>
      <c r="I279" s="21" t="s">
        <v>2009</v>
      </c>
      <c r="J279" s="20" t="s">
        <v>1641</v>
      </c>
      <c r="K279" s="24" t="s">
        <v>2016</v>
      </c>
      <c r="L279" s="20" t="s">
        <v>2017</v>
      </c>
      <c r="M279" s="25" t="s">
        <v>2018</v>
      </c>
      <c r="N279" s="26" t="s">
        <v>37</v>
      </c>
      <c r="O279" s="24" t="s">
        <v>1555</v>
      </c>
      <c r="P279" s="24" t="s">
        <v>1556</v>
      </c>
      <c r="Q279" s="27"/>
      <c r="R279" s="27"/>
      <c r="S279" s="28" t="s">
        <v>2019</v>
      </c>
      <c r="T279" s="8" t="s">
        <v>2020</v>
      </c>
      <c r="U279" s="29" t="e">
        <v>#N/A</v>
      </c>
      <c r="V279" s="21" t="s">
        <v>573</v>
      </c>
    </row>
    <row r="280">
      <c r="A280" s="30">
        <v>7.610046000808E12</v>
      </c>
      <c r="B280" s="20" t="s">
        <v>2021</v>
      </c>
      <c r="C280" s="21">
        <v>0.14</v>
      </c>
      <c r="D280" s="21">
        <v>0.048</v>
      </c>
      <c r="E280" s="21">
        <v>0.013</v>
      </c>
      <c r="F280" s="22">
        <v>23.0</v>
      </c>
      <c r="G280" s="23"/>
      <c r="H280" s="24" t="s">
        <v>2022</v>
      </c>
      <c r="I280" s="21" t="s">
        <v>2023</v>
      </c>
      <c r="J280" s="24"/>
      <c r="K280" s="24" t="s">
        <v>2024</v>
      </c>
      <c r="L280" s="20" t="s">
        <v>2025</v>
      </c>
      <c r="M280" s="25" t="s">
        <v>2026</v>
      </c>
      <c r="N280" s="26" t="s">
        <v>28</v>
      </c>
      <c r="O280" s="24" t="s">
        <v>2027</v>
      </c>
      <c r="P280" s="24" t="s">
        <v>2028</v>
      </c>
      <c r="Q280" s="27"/>
      <c r="R280" s="27"/>
      <c r="S280" s="28" t="s">
        <v>2029</v>
      </c>
      <c r="T280" s="8" t="s">
        <v>2030</v>
      </c>
      <c r="U280" s="29" t="s">
        <v>2023</v>
      </c>
      <c r="V280" s="24" t="str">
        <f>iferror(VLOOKUP(A280,'tagging table'!A:G,7,0),"")</f>
        <v>Cashiers</v>
      </c>
    </row>
    <row r="281">
      <c r="A281" s="30">
        <v>7.610046000822E12</v>
      </c>
      <c r="B281" s="20" t="s">
        <v>2031</v>
      </c>
      <c r="C281" s="21">
        <v>0.14</v>
      </c>
      <c r="D281" s="21">
        <v>0.048</v>
      </c>
      <c r="E281" s="21">
        <v>0.013</v>
      </c>
      <c r="F281" s="22">
        <v>23.0</v>
      </c>
      <c r="G281" s="23"/>
      <c r="H281" s="24" t="s">
        <v>2022</v>
      </c>
      <c r="I281" s="21" t="s">
        <v>2023</v>
      </c>
      <c r="J281" s="24"/>
      <c r="K281" s="24" t="s">
        <v>2032</v>
      </c>
      <c r="L281" s="20" t="s">
        <v>2033</v>
      </c>
      <c r="M281" s="25" t="s">
        <v>2034</v>
      </c>
      <c r="N281" s="26" t="s">
        <v>28</v>
      </c>
      <c r="O281" s="24" t="s">
        <v>2027</v>
      </c>
      <c r="P281" s="24" t="s">
        <v>2028</v>
      </c>
      <c r="Q281" s="27"/>
      <c r="R281" s="27"/>
      <c r="S281" s="28" t="s">
        <v>2035</v>
      </c>
      <c r="T281" s="8" t="s">
        <v>2036</v>
      </c>
      <c r="U281" s="29" t="s">
        <v>2023</v>
      </c>
      <c r="V281" s="24" t="str">
        <f>iferror(VLOOKUP(A281,'tagging table'!A:G,7,0),"")</f>
        <v>Cashiers</v>
      </c>
    </row>
    <row r="282">
      <c r="A282" s="30">
        <v>5.411081003654E12</v>
      </c>
      <c r="B282" s="20" t="s">
        <v>2037</v>
      </c>
      <c r="C282" s="21">
        <v>0.06</v>
      </c>
      <c r="D282" s="21">
        <v>0.19</v>
      </c>
      <c r="E282" s="21">
        <v>0.06</v>
      </c>
      <c r="F282" s="22">
        <v>5.0</v>
      </c>
      <c r="G282" s="23"/>
      <c r="H282" s="24" t="s">
        <v>2038</v>
      </c>
      <c r="I282" s="21" t="s">
        <v>2039</v>
      </c>
      <c r="J282" s="20" t="s">
        <v>532</v>
      </c>
      <c r="K282" s="24" t="s">
        <v>2040</v>
      </c>
      <c r="L282" s="20" t="s">
        <v>2041</v>
      </c>
      <c r="M282" s="25" t="s">
        <v>2042</v>
      </c>
      <c r="N282" s="26" t="s">
        <v>28</v>
      </c>
      <c r="O282" s="24" t="s">
        <v>365</v>
      </c>
      <c r="P282" s="24" t="s">
        <v>536</v>
      </c>
      <c r="Q282" s="27"/>
      <c r="R282" s="27"/>
      <c r="S282" s="28" t="s">
        <v>2043</v>
      </c>
      <c r="T282" s="8" t="s">
        <v>2044</v>
      </c>
      <c r="U282" s="29" t="s">
        <v>2045</v>
      </c>
      <c r="V282" s="24" t="str">
        <f>iferror(VLOOKUP(A282,'tagging table'!A:G,7,0),"")</f>
        <v>Drinks</v>
      </c>
    </row>
    <row r="283">
      <c r="A283" s="30">
        <v>7.290000110844E12</v>
      </c>
      <c r="B283" s="20" t="s">
        <v>2046</v>
      </c>
      <c r="C283" s="21">
        <v>0.14</v>
      </c>
      <c r="D283" s="21">
        <v>0.23</v>
      </c>
      <c r="E283" s="21">
        <v>0.04</v>
      </c>
      <c r="F283" s="22">
        <v>8.0</v>
      </c>
      <c r="G283" s="23"/>
      <c r="H283" s="24" t="s">
        <v>2047</v>
      </c>
      <c r="I283" s="21" t="s">
        <v>2048</v>
      </c>
      <c r="J283" s="24"/>
      <c r="K283" s="24" t="s">
        <v>2049</v>
      </c>
      <c r="L283" s="20" t="s">
        <v>2050</v>
      </c>
      <c r="M283" s="25" t="s">
        <v>2051</v>
      </c>
      <c r="N283" s="26" t="s">
        <v>37</v>
      </c>
      <c r="O283" s="24" t="s">
        <v>109</v>
      </c>
      <c r="P283" s="24" t="s">
        <v>603</v>
      </c>
      <c r="Q283" s="27"/>
      <c r="R283" s="27"/>
      <c r="S283" s="31" t="s">
        <v>2052</v>
      </c>
      <c r="T283" s="33" t="s">
        <v>2053</v>
      </c>
      <c r="U283" s="29" t="e">
        <v>#N/A</v>
      </c>
      <c r="V283" s="21" t="s">
        <v>113</v>
      </c>
    </row>
    <row r="284">
      <c r="A284" s="30">
        <v>7.290000110851E12</v>
      </c>
      <c r="B284" s="20" t="s">
        <v>2054</v>
      </c>
      <c r="C284" s="21">
        <v>0.14</v>
      </c>
      <c r="D284" s="21">
        <v>0.23</v>
      </c>
      <c r="E284" s="21">
        <v>0.04</v>
      </c>
      <c r="F284" s="22">
        <v>8.0</v>
      </c>
      <c r="G284" s="23"/>
      <c r="H284" s="24" t="s">
        <v>2047</v>
      </c>
      <c r="I284" s="21" t="s">
        <v>2048</v>
      </c>
      <c r="J284" s="24"/>
      <c r="K284" s="24" t="s">
        <v>2055</v>
      </c>
      <c r="L284" s="20" t="s">
        <v>2056</v>
      </c>
      <c r="M284" s="25" t="s">
        <v>2057</v>
      </c>
      <c r="N284" s="26" t="s">
        <v>37</v>
      </c>
      <c r="O284" s="24" t="s">
        <v>109</v>
      </c>
      <c r="P284" s="24" t="s">
        <v>603</v>
      </c>
      <c r="Q284" s="27"/>
      <c r="R284" s="27"/>
      <c r="S284" s="31" t="s">
        <v>2058</v>
      </c>
      <c r="T284" s="33" t="s">
        <v>2059</v>
      </c>
      <c r="U284" s="29" t="e">
        <v>#N/A</v>
      </c>
      <c r="V284" s="21" t="s">
        <v>113</v>
      </c>
    </row>
    <row r="285">
      <c r="A285" s="30">
        <v>7.290105364302E12</v>
      </c>
      <c r="B285" s="20" t="s">
        <v>2060</v>
      </c>
      <c r="C285" s="21">
        <v>0.08</v>
      </c>
      <c r="D285" s="21">
        <v>0.142</v>
      </c>
      <c r="E285" s="21">
        <v>0.037</v>
      </c>
      <c r="F285" s="22">
        <v>8.0</v>
      </c>
      <c r="G285" s="23"/>
      <c r="H285" s="24" t="s">
        <v>2061</v>
      </c>
      <c r="I285" s="21" t="s">
        <v>2062</v>
      </c>
      <c r="J285" s="24"/>
      <c r="K285" s="24" t="s">
        <v>2063</v>
      </c>
      <c r="L285" s="20" t="s">
        <v>2064</v>
      </c>
      <c r="M285" s="25" t="s">
        <v>2065</v>
      </c>
      <c r="N285" s="26" t="s">
        <v>28</v>
      </c>
      <c r="O285" s="24" t="s">
        <v>501</v>
      </c>
      <c r="P285" s="24" t="s">
        <v>729</v>
      </c>
      <c r="Q285" s="27"/>
      <c r="R285" s="27"/>
      <c r="S285" s="28" t="s">
        <v>2066</v>
      </c>
      <c r="T285" s="8" t="s">
        <v>2067</v>
      </c>
      <c r="U285" s="29" t="s">
        <v>2068</v>
      </c>
      <c r="V285" s="24" t="str">
        <f>iferror(VLOOKUP(A285,'tagging table'!A:G,7,0),"")</f>
        <v>Cashiers</v>
      </c>
    </row>
    <row r="286">
      <c r="A286" s="30">
        <v>7.290112347626E12</v>
      </c>
      <c r="B286" s="20" t="s">
        <v>2069</v>
      </c>
      <c r="C286" s="21">
        <v>0.07</v>
      </c>
      <c r="D286" s="21">
        <v>0.105</v>
      </c>
      <c r="E286" s="21">
        <v>0.05</v>
      </c>
      <c r="F286" s="22">
        <v>6.0</v>
      </c>
      <c r="G286" s="23"/>
      <c r="H286" s="24" t="s">
        <v>2070</v>
      </c>
      <c r="I286" s="21" t="s">
        <v>2071</v>
      </c>
      <c r="J286" s="21" t="s">
        <v>725</v>
      </c>
      <c r="K286" s="24" t="s">
        <v>2072</v>
      </c>
      <c r="L286" s="20" t="s">
        <v>2073</v>
      </c>
      <c r="M286" s="25" t="s">
        <v>2074</v>
      </c>
      <c r="N286" s="26" t="s">
        <v>28</v>
      </c>
      <c r="O286" s="24" t="s">
        <v>501</v>
      </c>
      <c r="P286" s="24" t="s">
        <v>729</v>
      </c>
      <c r="Q286" s="27"/>
      <c r="R286" s="27"/>
      <c r="S286" s="28" t="s">
        <v>2075</v>
      </c>
      <c r="T286" s="8" t="s">
        <v>2076</v>
      </c>
      <c r="U286" s="29" t="s">
        <v>2077</v>
      </c>
      <c r="V286" s="24" t="str">
        <f>iferror(VLOOKUP(A286,'tagging table'!A:G,7,0),"")</f>
        <v>Sweets</v>
      </c>
    </row>
    <row r="287">
      <c r="A287" s="30">
        <v>7.29000017147E12</v>
      </c>
      <c r="B287" s="20" t="s">
        <v>2078</v>
      </c>
      <c r="C287" s="21">
        <v>0.11</v>
      </c>
      <c r="D287" s="21">
        <v>0.065</v>
      </c>
      <c r="E287" s="21">
        <v>0.02</v>
      </c>
      <c r="F287" s="22">
        <v>15.0</v>
      </c>
      <c r="G287" s="23"/>
      <c r="H287" s="24" t="s">
        <v>2061</v>
      </c>
      <c r="I287" s="21" t="s">
        <v>2062</v>
      </c>
      <c r="J287" s="24"/>
      <c r="K287" s="24" t="s">
        <v>2079</v>
      </c>
      <c r="L287" s="20" t="s">
        <v>2080</v>
      </c>
      <c r="M287" s="25" t="s">
        <v>2081</v>
      </c>
      <c r="N287" s="26" t="s">
        <v>37</v>
      </c>
      <c r="O287" s="24" t="s">
        <v>501</v>
      </c>
      <c r="P287" s="24" t="s">
        <v>502</v>
      </c>
      <c r="Q287" s="27"/>
      <c r="R287" s="27"/>
      <c r="S287" s="31" t="s">
        <v>2082</v>
      </c>
      <c r="T287" s="8" t="s">
        <v>2083</v>
      </c>
      <c r="U287" s="29" t="e">
        <v>#N/A</v>
      </c>
      <c r="V287" s="21" t="s">
        <v>2084</v>
      </c>
    </row>
    <row r="288">
      <c r="A288" s="30">
        <v>7.290107931397E12</v>
      </c>
      <c r="B288" s="20" t="s">
        <v>2085</v>
      </c>
      <c r="C288" s="21">
        <v>0.08</v>
      </c>
      <c r="D288" s="21">
        <v>0.142</v>
      </c>
      <c r="E288" s="21">
        <v>0.037</v>
      </c>
      <c r="F288" s="22">
        <v>8.0</v>
      </c>
      <c r="G288" s="23"/>
      <c r="H288" s="24" t="s">
        <v>2061</v>
      </c>
      <c r="I288" s="21" t="s">
        <v>2062</v>
      </c>
      <c r="J288" s="24"/>
      <c r="K288" s="24" t="s">
        <v>2086</v>
      </c>
      <c r="L288" s="20" t="s">
        <v>2087</v>
      </c>
      <c r="M288" s="25" t="s">
        <v>2088</v>
      </c>
      <c r="N288" s="26" t="s">
        <v>28</v>
      </c>
      <c r="O288" s="24" t="s">
        <v>501</v>
      </c>
      <c r="P288" s="24" t="s">
        <v>729</v>
      </c>
      <c r="Q288" s="27"/>
      <c r="R288" s="27"/>
      <c r="S288" s="28" t="s">
        <v>2089</v>
      </c>
      <c r="T288" s="8" t="s">
        <v>2090</v>
      </c>
      <c r="U288" s="29" t="s">
        <v>2091</v>
      </c>
      <c r="V288" s="24" t="str">
        <f>iferror(VLOOKUP(A288,'tagging table'!A:G,7,0),"")</f>
        <v>Cashiers</v>
      </c>
    </row>
    <row r="289">
      <c r="A289" s="30">
        <v>7.290105361707E12</v>
      </c>
      <c r="B289" s="20" t="s">
        <v>2092</v>
      </c>
      <c r="C289" s="21">
        <v>0.11</v>
      </c>
      <c r="D289" s="21">
        <v>0.065</v>
      </c>
      <c r="E289" s="21">
        <v>0.02</v>
      </c>
      <c r="F289" s="22">
        <v>15.0</v>
      </c>
      <c r="G289" s="23"/>
      <c r="H289" s="24" t="s">
        <v>2061</v>
      </c>
      <c r="I289" s="21" t="s">
        <v>2062</v>
      </c>
      <c r="J289" s="24"/>
      <c r="K289" s="24" t="s">
        <v>2093</v>
      </c>
      <c r="L289" s="20" t="s">
        <v>2094</v>
      </c>
      <c r="M289" s="25" t="s">
        <v>2095</v>
      </c>
      <c r="N289" s="26" t="s">
        <v>28</v>
      </c>
      <c r="O289" s="24" t="s">
        <v>501</v>
      </c>
      <c r="P289" s="24" t="s">
        <v>502</v>
      </c>
      <c r="Q289" s="27"/>
      <c r="R289" s="27"/>
      <c r="S289" s="31" t="s">
        <v>2096</v>
      </c>
      <c r="T289" s="33" t="s">
        <v>2097</v>
      </c>
      <c r="U289" s="29" t="s">
        <v>2062</v>
      </c>
      <c r="V289" s="24" t="str">
        <f>iferror(VLOOKUP(A289,'tagging table'!A:G,7,0),"")</f>
        <v>Cashiers</v>
      </c>
    </row>
    <row r="290">
      <c r="A290" s="30">
        <v>8.0761761E7</v>
      </c>
      <c r="B290" s="20" t="s">
        <v>2098</v>
      </c>
      <c r="C290" s="21">
        <v>0.155</v>
      </c>
      <c r="D290" s="21">
        <v>0.055</v>
      </c>
      <c r="E290" s="21">
        <v>0.02</v>
      </c>
      <c r="F290" s="22">
        <v>15.0</v>
      </c>
      <c r="G290" s="23"/>
      <c r="H290" s="24" t="s">
        <v>2099</v>
      </c>
      <c r="I290" s="21" t="s">
        <v>2100</v>
      </c>
      <c r="J290" s="24"/>
      <c r="K290" s="24" t="s">
        <v>2101</v>
      </c>
      <c r="L290" s="20" t="s">
        <v>2102</v>
      </c>
      <c r="M290" s="25" t="s">
        <v>2103</v>
      </c>
      <c r="N290" s="26" t="s">
        <v>28</v>
      </c>
      <c r="O290" s="24" t="s">
        <v>501</v>
      </c>
      <c r="P290" s="24" t="s">
        <v>502</v>
      </c>
      <c r="Q290" s="27"/>
      <c r="R290" s="27"/>
      <c r="S290" s="28" t="s">
        <v>2104</v>
      </c>
      <c r="T290" s="8" t="s">
        <v>2105</v>
      </c>
      <c r="U290" s="29" t="s">
        <v>2106</v>
      </c>
      <c r="V290" s="24" t="str">
        <f>iferror(VLOOKUP(A290,'tagging table'!A:G,7,0),"")</f>
        <v>Cashiers</v>
      </c>
    </row>
    <row r="291">
      <c r="A291" s="30">
        <v>8.017718E7</v>
      </c>
      <c r="B291" s="20" t="s">
        <v>2107</v>
      </c>
      <c r="C291" s="21">
        <v>0.04</v>
      </c>
      <c r="D291" s="21">
        <v>0.11</v>
      </c>
      <c r="E291" s="21">
        <v>0.01</v>
      </c>
      <c r="F291" s="22">
        <v>30.0</v>
      </c>
      <c r="G291" s="23"/>
      <c r="H291" s="24" t="s">
        <v>2099</v>
      </c>
      <c r="I291" s="21" t="s">
        <v>2100</v>
      </c>
      <c r="J291" s="24"/>
      <c r="K291" s="24" t="s">
        <v>2108</v>
      </c>
      <c r="L291" s="20" t="s">
        <v>2109</v>
      </c>
      <c r="M291" s="25" t="s">
        <v>2110</v>
      </c>
      <c r="N291" s="26" t="s">
        <v>28</v>
      </c>
      <c r="O291" s="24" t="s">
        <v>1772</v>
      </c>
      <c r="P291" s="24" t="s">
        <v>1773</v>
      </c>
      <c r="Q291" s="27"/>
      <c r="R291" s="27"/>
      <c r="S291" s="28" t="s">
        <v>2111</v>
      </c>
      <c r="T291" s="8" t="s">
        <v>2112</v>
      </c>
      <c r="U291" s="29" t="s">
        <v>2113</v>
      </c>
      <c r="V291" s="24" t="str">
        <f>iferror(VLOOKUP(A291,'tagging table'!A:G,7,0),"")</f>
        <v>Cashiers</v>
      </c>
    </row>
    <row r="292">
      <c r="A292" s="30">
        <v>8.000500267035E12</v>
      </c>
      <c r="B292" s="20" t="s">
        <v>2114</v>
      </c>
      <c r="C292" s="21">
        <v>0.145</v>
      </c>
      <c r="D292" s="21">
        <v>0.065</v>
      </c>
      <c r="E292" s="21">
        <v>0.02</v>
      </c>
      <c r="F292" s="22">
        <v>15.0</v>
      </c>
      <c r="G292" s="23"/>
      <c r="H292" s="24" t="s">
        <v>2099</v>
      </c>
      <c r="I292" s="21" t="s">
        <v>2100</v>
      </c>
      <c r="J292" s="24"/>
      <c r="K292" s="24" t="s">
        <v>2115</v>
      </c>
      <c r="L292" s="20" t="s">
        <v>2116</v>
      </c>
      <c r="M292" s="25" t="s">
        <v>2117</v>
      </c>
      <c r="N292" s="26" t="s">
        <v>28</v>
      </c>
      <c r="O292" s="24" t="s">
        <v>501</v>
      </c>
      <c r="P292" s="24" t="s">
        <v>502</v>
      </c>
      <c r="Q292" s="27"/>
      <c r="R292" s="27"/>
      <c r="S292" s="31" t="s">
        <v>2118</v>
      </c>
      <c r="T292" s="8" t="s">
        <v>2119</v>
      </c>
      <c r="U292" s="29" t="s">
        <v>2120</v>
      </c>
      <c r="V292" s="24" t="str">
        <f>iferror(VLOOKUP(A292,'tagging table'!A:G,7,0),"")</f>
        <v>Cashiers</v>
      </c>
    </row>
    <row r="293">
      <c r="A293" s="30">
        <v>8.0974482E7</v>
      </c>
      <c r="B293" s="20" t="s">
        <v>2121</v>
      </c>
      <c r="C293" s="21">
        <v>0.05</v>
      </c>
      <c r="D293" s="21">
        <v>0.07</v>
      </c>
      <c r="E293" s="21">
        <v>0.055</v>
      </c>
      <c r="F293" s="22">
        <v>5.0</v>
      </c>
      <c r="G293" s="23"/>
      <c r="H293" s="24" t="s">
        <v>2099</v>
      </c>
      <c r="I293" s="21" t="s">
        <v>2100</v>
      </c>
      <c r="J293" s="21" t="s">
        <v>2122</v>
      </c>
      <c r="K293" s="24" t="s">
        <v>2123</v>
      </c>
      <c r="L293" s="20" t="s">
        <v>2124</v>
      </c>
      <c r="M293" s="25" t="s">
        <v>2125</v>
      </c>
      <c r="N293" s="26" t="s">
        <v>28</v>
      </c>
      <c r="O293" s="24" t="s">
        <v>1772</v>
      </c>
      <c r="P293" s="24" t="s">
        <v>2126</v>
      </c>
      <c r="Q293" s="27"/>
      <c r="R293" s="27"/>
      <c r="S293" s="28" t="s">
        <v>2127</v>
      </c>
      <c r="T293" s="8" t="s">
        <v>2128</v>
      </c>
      <c r="U293" s="29" t="s">
        <v>2129</v>
      </c>
      <c r="V293" s="24" t="str">
        <f>iferror(VLOOKUP(A293,'tagging table'!A:G,7,0),"")</f>
        <v>Sweets</v>
      </c>
    </row>
    <row r="294">
      <c r="A294" s="30">
        <v>8.0768258E7</v>
      </c>
      <c r="B294" s="20" t="s">
        <v>2130</v>
      </c>
      <c r="C294" s="21">
        <v>0.05</v>
      </c>
      <c r="D294" s="21">
        <v>0.07</v>
      </c>
      <c r="E294" s="21">
        <v>0.055</v>
      </c>
      <c r="F294" s="22">
        <v>5.0</v>
      </c>
      <c r="G294" s="23"/>
      <c r="H294" s="24" t="s">
        <v>2099</v>
      </c>
      <c r="I294" s="21" t="s">
        <v>2100</v>
      </c>
      <c r="J294" s="21" t="s">
        <v>2122</v>
      </c>
      <c r="K294" s="24" t="s">
        <v>2131</v>
      </c>
      <c r="L294" s="20" t="s">
        <v>2132</v>
      </c>
      <c r="M294" s="25" t="s">
        <v>2133</v>
      </c>
      <c r="N294" s="26" t="s">
        <v>28</v>
      </c>
      <c r="O294" s="24" t="s">
        <v>1772</v>
      </c>
      <c r="P294" s="24" t="s">
        <v>2126</v>
      </c>
      <c r="Q294" s="27"/>
      <c r="R294" s="27"/>
      <c r="S294" s="28" t="s">
        <v>2134</v>
      </c>
      <c r="T294" s="8" t="s">
        <v>2135</v>
      </c>
      <c r="U294" s="29" t="s">
        <v>2129</v>
      </c>
      <c r="V294" s="24" t="str">
        <f>iferror(VLOOKUP(A294,'tagging table'!A:G,7,0),"")</f>
        <v>Sweets</v>
      </c>
    </row>
    <row r="295">
      <c r="A295" s="30">
        <v>4.0084107E7</v>
      </c>
      <c r="B295" s="20" t="s">
        <v>2136</v>
      </c>
      <c r="C295" s="21">
        <v>0.045</v>
      </c>
      <c r="D295" s="21">
        <v>0.065</v>
      </c>
      <c r="E295" s="21">
        <v>0.045</v>
      </c>
      <c r="F295" s="22">
        <v>7.0</v>
      </c>
      <c r="G295" s="23"/>
      <c r="H295" s="24" t="s">
        <v>2099</v>
      </c>
      <c r="I295" s="21" t="s">
        <v>2100</v>
      </c>
      <c r="J295" s="21" t="s">
        <v>2122</v>
      </c>
      <c r="K295" s="24" t="s">
        <v>2137</v>
      </c>
      <c r="L295" s="20" t="s">
        <v>2138</v>
      </c>
      <c r="M295" s="25" t="s">
        <v>2139</v>
      </c>
      <c r="N295" s="26" t="s">
        <v>28</v>
      </c>
      <c r="O295" s="24" t="s">
        <v>1772</v>
      </c>
      <c r="P295" s="24" t="s">
        <v>2126</v>
      </c>
      <c r="Q295" s="27"/>
      <c r="R295" s="27"/>
      <c r="S295" s="28" t="s">
        <v>2140</v>
      </c>
      <c r="T295" s="33" t="s">
        <v>2141</v>
      </c>
      <c r="U295" s="29" t="s">
        <v>2129</v>
      </c>
      <c r="V295" s="24" t="str">
        <f>iferror(VLOOKUP(A295,'tagging table'!A:G,7,0),"")</f>
        <v>Sweets</v>
      </c>
    </row>
    <row r="296">
      <c r="A296" s="30">
        <v>8.0177616E7</v>
      </c>
      <c r="B296" s="20" t="s">
        <v>2142</v>
      </c>
      <c r="C296" s="21">
        <v>0.013</v>
      </c>
      <c r="D296" s="21">
        <v>0.158</v>
      </c>
      <c r="E296" s="21">
        <v>0.083</v>
      </c>
      <c r="F296" s="22">
        <v>15.0</v>
      </c>
      <c r="G296" s="23"/>
      <c r="H296" s="24" t="s">
        <v>2099</v>
      </c>
      <c r="I296" s="21" t="s">
        <v>2100</v>
      </c>
      <c r="J296" s="21" t="s">
        <v>2122</v>
      </c>
      <c r="K296" s="24" t="s">
        <v>2143</v>
      </c>
      <c r="L296" s="20" t="s">
        <v>2144</v>
      </c>
      <c r="M296" s="25" t="s">
        <v>2145</v>
      </c>
      <c r="N296" s="26" t="s">
        <v>28</v>
      </c>
      <c r="O296" s="24"/>
      <c r="P296" s="24"/>
      <c r="Q296" s="27"/>
      <c r="R296" s="27"/>
      <c r="S296" s="28"/>
      <c r="T296" s="8"/>
      <c r="U296" s="29" t="s">
        <v>2100</v>
      </c>
      <c r="V296" s="21" t="s">
        <v>596</v>
      </c>
    </row>
    <row r="297">
      <c r="A297" s="30">
        <v>5.413548280189E12</v>
      </c>
      <c r="B297" s="20" t="s">
        <v>2146</v>
      </c>
      <c r="C297" s="21">
        <v>0.135</v>
      </c>
      <c r="D297" s="21">
        <v>0.165</v>
      </c>
      <c r="E297" s="21">
        <v>0.03</v>
      </c>
      <c r="F297" s="22">
        <v>10.0</v>
      </c>
      <c r="G297" s="23"/>
      <c r="H297" s="24" t="s">
        <v>2099</v>
      </c>
      <c r="I297" s="21" t="s">
        <v>2100</v>
      </c>
      <c r="J297" s="21" t="s">
        <v>2122</v>
      </c>
      <c r="K297" s="24" t="s">
        <v>2147</v>
      </c>
      <c r="L297" s="20" t="s">
        <v>2148</v>
      </c>
      <c r="M297" s="25" t="s">
        <v>2149</v>
      </c>
      <c r="N297" s="26" t="s">
        <v>28</v>
      </c>
      <c r="O297" s="24" t="s">
        <v>1772</v>
      </c>
      <c r="P297" s="24" t="s">
        <v>1773</v>
      </c>
      <c r="Q297" s="27"/>
      <c r="R297" s="27"/>
      <c r="S297" s="28" t="s">
        <v>2150</v>
      </c>
      <c r="T297" s="33" t="s">
        <v>2151</v>
      </c>
      <c r="U297" s="29" t="s">
        <v>2100</v>
      </c>
      <c r="V297" s="24" t="str">
        <f>iferror(VLOOKUP(A297,'tagging table'!A:G,7,0),"")</f>
        <v>Sweets</v>
      </c>
    </row>
    <row r="298">
      <c r="A298" s="30">
        <v>7.290000284347E12</v>
      </c>
      <c r="B298" s="20" t="s">
        <v>2152</v>
      </c>
      <c r="C298" s="21">
        <v>0.095</v>
      </c>
      <c r="D298" s="21">
        <v>0.333</v>
      </c>
      <c r="E298" s="21">
        <v>0.095</v>
      </c>
      <c r="F298" s="22">
        <v>3.0</v>
      </c>
      <c r="G298" s="23"/>
      <c r="H298" s="24" t="s">
        <v>2153</v>
      </c>
      <c r="I298" s="21" t="s">
        <v>2154</v>
      </c>
      <c r="J298" s="20" t="s">
        <v>133</v>
      </c>
      <c r="K298" s="24" t="s">
        <v>2155</v>
      </c>
      <c r="L298" s="20" t="s">
        <v>2156</v>
      </c>
      <c r="M298" s="25" t="s">
        <v>2157</v>
      </c>
      <c r="N298" s="26" t="s">
        <v>37</v>
      </c>
      <c r="O298" s="24" t="s">
        <v>2158</v>
      </c>
      <c r="P298" s="24" t="s">
        <v>2159</v>
      </c>
      <c r="Q298" s="27"/>
      <c r="R298" s="27"/>
      <c r="S298" s="31" t="s">
        <v>2160</v>
      </c>
      <c r="T298" s="33" t="s">
        <v>2161</v>
      </c>
      <c r="U298" s="29" t="e">
        <v>#N/A</v>
      </c>
      <c r="V298" s="21" t="s">
        <v>573</v>
      </c>
    </row>
    <row r="299">
      <c r="A299" s="30">
        <v>7.29000159423E12</v>
      </c>
      <c r="B299" s="20" t="s">
        <v>2162</v>
      </c>
      <c r="C299" s="21">
        <v>0.06</v>
      </c>
      <c r="D299" s="21">
        <v>0.205</v>
      </c>
      <c r="E299" s="21">
        <v>0.06</v>
      </c>
      <c r="F299" s="22">
        <v>5.0</v>
      </c>
      <c r="G299" s="23"/>
      <c r="H299" s="24" t="s">
        <v>2153</v>
      </c>
      <c r="I299" s="21" t="s">
        <v>2154</v>
      </c>
      <c r="J299" s="20" t="s">
        <v>133</v>
      </c>
      <c r="K299" s="24" t="s">
        <v>2163</v>
      </c>
      <c r="L299" s="20" t="s">
        <v>2164</v>
      </c>
      <c r="M299" s="25" t="s">
        <v>2165</v>
      </c>
      <c r="N299" s="26" t="s">
        <v>37</v>
      </c>
      <c r="O299" s="24" t="s">
        <v>2158</v>
      </c>
      <c r="P299" s="24" t="s">
        <v>2166</v>
      </c>
      <c r="Q299" s="27"/>
      <c r="R299" s="27"/>
      <c r="S299" s="28" t="s">
        <v>2167</v>
      </c>
      <c r="T299" s="8" t="s">
        <v>2168</v>
      </c>
      <c r="U299" s="29" t="e">
        <v>#N/A</v>
      </c>
      <c r="V299" s="21" t="s">
        <v>573</v>
      </c>
    </row>
    <row r="300">
      <c r="A300" s="30">
        <v>4.0052403E7</v>
      </c>
      <c r="B300" s="20" t="s">
        <v>2169</v>
      </c>
      <c r="C300" s="21">
        <v>0.097</v>
      </c>
      <c r="D300" s="21">
        <v>0.064</v>
      </c>
      <c r="E300" s="21">
        <v>0.01</v>
      </c>
      <c r="F300" s="22">
        <v>30.0</v>
      </c>
      <c r="G300" s="23"/>
      <c r="H300" s="24" t="s">
        <v>2170</v>
      </c>
      <c r="I300" s="21" t="s">
        <v>2171</v>
      </c>
      <c r="J300" s="24"/>
      <c r="K300" s="24" t="s">
        <v>2172</v>
      </c>
      <c r="L300" s="20" t="s">
        <v>2173</v>
      </c>
      <c r="M300" s="25" t="s">
        <v>2174</v>
      </c>
      <c r="N300" s="26" t="s">
        <v>28</v>
      </c>
      <c r="O300" s="24" t="s">
        <v>501</v>
      </c>
      <c r="P300" s="24" t="s">
        <v>502</v>
      </c>
      <c r="Q300" s="27"/>
      <c r="R300" s="27"/>
      <c r="S300" s="28" t="s">
        <v>2175</v>
      </c>
      <c r="T300" s="8" t="s">
        <v>2176</v>
      </c>
      <c r="U300" s="29" t="s">
        <v>2177</v>
      </c>
      <c r="V300" s="24" t="str">
        <f>iferror(VLOOKUP(A300,'tagging table'!A:G,7,0),"")</f>
        <v>Cashiers</v>
      </c>
    </row>
    <row r="301">
      <c r="A301" s="30">
        <v>3.800020491393E12</v>
      </c>
      <c r="B301" s="20" t="s">
        <v>2178</v>
      </c>
      <c r="C301" s="21">
        <v>0.12</v>
      </c>
      <c r="D301" s="21">
        <v>0.03</v>
      </c>
      <c r="E301" s="21">
        <v>0.018</v>
      </c>
      <c r="F301" s="22">
        <v>17.0</v>
      </c>
      <c r="G301" s="23"/>
      <c r="H301" s="24" t="s">
        <v>2170</v>
      </c>
      <c r="I301" s="21" t="s">
        <v>2171</v>
      </c>
      <c r="J301" s="24"/>
      <c r="K301" s="24" t="s">
        <v>2179</v>
      </c>
      <c r="L301" s="20" t="s">
        <v>2180</v>
      </c>
      <c r="M301" s="25" t="s">
        <v>2181</v>
      </c>
      <c r="N301" s="26" t="s">
        <v>28</v>
      </c>
      <c r="O301" s="24" t="s">
        <v>501</v>
      </c>
      <c r="P301" s="24" t="s">
        <v>502</v>
      </c>
      <c r="Q301" s="27"/>
      <c r="R301" s="27"/>
      <c r="S301" s="28" t="s">
        <v>2182</v>
      </c>
      <c r="T301" s="33" t="s">
        <v>2183</v>
      </c>
      <c r="U301" s="29" t="s">
        <v>2177</v>
      </c>
      <c r="V301" s="24" t="str">
        <f>iferror(VLOOKUP(A301,'tagging table'!A:G,7,0),"")</f>
        <v>Cashiers</v>
      </c>
    </row>
    <row r="302">
      <c r="A302" s="30">
        <v>3.800020423578E12</v>
      </c>
      <c r="B302" s="20" t="s">
        <v>2184</v>
      </c>
      <c r="C302" s="21">
        <v>0.12</v>
      </c>
      <c r="D302" s="21">
        <v>0.03</v>
      </c>
      <c r="E302" s="21">
        <v>0.018</v>
      </c>
      <c r="F302" s="22">
        <v>17.0</v>
      </c>
      <c r="G302" s="23"/>
      <c r="H302" s="24" t="s">
        <v>2170</v>
      </c>
      <c r="I302" s="21" t="s">
        <v>2171</v>
      </c>
      <c r="J302" s="24"/>
      <c r="K302" s="24" t="s">
        <v>2185</v>
      </c>
      <c r="L302" s="20" t="s">
        <v>2186</v>
      </c>
      <c r="M302" s="25" t="s">
        <v>2187</v>
      </c>
      <c r="N302" s="26" t="s">
        <v>28</v>
      </c>
      <c r="O302" s="24" t="s">
        <v>501</v>
      </c>
      <c r="P302" s="24" t="s">
        <v>502</v>
      </c>
      <c r="Q302" s="27"/>
      <c r="R302" s="27"/>
      <c r="S302" s="28" t="s">
        <v>2188</v>
      </c>
      <c r="T302" s="8" t="s">
        <v>2189</v>
      </c>
      <c r="U302" s="29" t="s">
        <v>2177</v>
      </c>
      <c r="V302" s="24" t="str">
        <f>iferror(VLOOKUP(A302,'tagging table'!A:G,7,0),"")</f>
        <v>Cashiers</v>
      </c>
    </row>
    <row r="303">
      <c r="A303" s="30">
        <v>3.80002041813E12</v>
      </c>
      <c r="B303" s="20" t="s">
        <v>2190</v>
      </c>
      <c r="C303" s="21">
        <v>0.12</v>
      </c>
      <c r="D303" s="21">
        <v>0.03</v>
      </c>
      <c r="E303" s="21">
        <v>0.018</v>
      </c>
      <c r="F303" s="22">
        <v>17.0</v>
      </c>
      <c r="G303" s="23"/>
      <c r="H303" s="24" t="s">
        <v>2170</v>
      </c>
      <c r="I303" s="21" t="s">
        <v>2171</v>
      </c>
      <c r="J303" s="24"/>
      <c r="K303" s="24" t="s">
        <v>2191</v>
      </c>
      <c r="L303" s="20" t="s">
        <v>2192</v>
      </c>
      <c r="M303" s="25" t="s">
        <v>2193</v>
      </c>
      <c r="N303" s="26" t="s">
        <v>28</v>
      </c>
      <c r="O303" s="24" t="s">
        <v>501</v>
      </c>
      <c r="P303" s="24" t="s">
        <v>502</v>
      </c>
      <c r="Q303" s="27"/>
      <c r="R303" s="27"/>
      <c r="S303" s="28" t="s">
        <v>2194</v>
      </c>
      <c r="T303" s="8" t="s">
        <v>2195</v>
      </c>
      <c r="U303" s="29" t="s">
        <v>2177</v>
      </c>
      <c r="V303" s="24" t="str">
        <f>iferror(VLOOKUP(A303,'tagging table'!A:G,7,0),"")</f>
        <v>Cashiers</v>
      </c>
    </row>
    <row r="304">
      <c r="A304" s="30">
        <v>7.290000148489E12</v>
      </c>
      <c r="B304" s="20" t="s">
        <v>2196</v>
      </c>
      <c r="C304" s="21">
        <v>0.145</v>
      </c>
      <c r="D304" s="21">
        <v>0.19</v>
      </c>
      <c r="E304" s="21">
        <v>0.02</v>
      </c>
      <c r="F304" s="22">
        <v>15.0</v>
      </c>
      <c r="G304" s="23"/>
      <c r="H304" s="24" t="s">
        <v>2197</v>
      </c>
      <c r="I304" s="21" t="s">
        <v>2198</v>
      </c>
      <c r="J304" s="24"/>
      <c r="K304" s="24" t="s">
        <v>2199</v>
      </c>
      <c r="L304" s="20" t="s">
        <v>2200</v>
      </c>
      <c r="M304" s="25" t="s">
        <v>2201</v>
      </c>
      <c r="N304" s="26" t="s">
        <v>37</v>
      </c>
      <c r="O304" s="24" t="s">
        <v>1794</v>
      </c>
      <c r="P304" s="24" t="s">
        <v>2202</v>
      </c>
      <c r="Q304" s="27"/>
      <c r="R304" s="27"/>
      <c r="S304" s="28" t="s">
        <v>2203</v>
      </c>
      <c r="T304" s="8" t="s">
        <v>2204</v>
      </c>
      <c r="U304" s="29" t="e">
        <v>#N/A</v>
      </c>
      <c r="V304" s="21" t="s">
        <v>1798</v>
      </c>
    </row>
    <row r="305">
      <c r="A305" s="30">
        <v>7.290003896141E12</v>
      </c>
      <c r="B305" s="20" t="s">
        <v>2205</v>
      </c>
      <c r="C305" s="21">
        <v>0.11</v>
      </c>
      <c r="D305" s="21">
        <v>0.19</v>
      </c>
      <c r="E305" s="21">
        <v>0.02</v>
      </c>
      <c r="F305" s="22">
        <v>15.0</v>
      </c>
      <c r="G305" s="23"/>
      <c r="H305" s="24" t="s">
        <v>2197</v>
      </c>
      <c r="I305" s="21" t="s">
        <v>2198</v>
      </c>
      <c r="J305" s="24"/>
      <c r="K305" s="24" t="s">
        <v>2206</v>
      </c>
      <c r="L305" s="20" t="s">
        <v>2207</v>
      </c>
      <c r="M305" s="25" t="s">
        <v>2208</v>
      </c>
      <c r="N305" s="26" t="s">
        <v>28</v>
      </c>
      <c r="O305" s="24" t="s">
        <v>1794</v>
      </c>
      <c r="P305" s="24" t="s">
        <v>1795</v>
      </c>
      <c r="Q305" s="27"/>
      <c r="R305" s="27"/>
      <c r="S305" s="28" t="s">
        <v>2209</v>
      </c>
      <c r="T305" s="8" t="s">
        <v>2208</v>
      </c>
      <c r="U305" s="29" t="s">
        <v>2210</v>
      </c>
      <c r="V305" s="21" t="s">
        <v>1798</v>
      </c>
    </row>
    <row r="306">
      <c r="A306" s="30">
        <v>7.290000148939E12</v>
      </c>
      <c r="B306" s="20" t="s">
        <v>2211</v>
      </c>
      <c r="C306" s="21">
        <v>0.11</v>
      </c>
      <c r="D306" s="21">
        <v>0.19</v>
      </c>
      <c r="E306" s="21">
        <v>0.02</v>
      </c>
      <c r="F306" s="22">
        <v>15.0</v>
      </c>
      <c r="G306" s="23"/>
      <c r="H306" s="24" t="s">
        <v>2197</v>
      </c>
      <c r="I306" s="21" t="s">
        <v>2198</v>
      </c>
      <c r="J306" s="24"/>
      <c r="K306" s="24" t="s">
        <v>2212</v>
      </c>
      <c r="L306" s="20" t="s">
        <v>2213</v>
      </c>
      <c r="M306" s="25" t="s">
        <v>2214</v>
      </c>
      <c r="N306" s="26" t="s">
        <v>37</v>
      </c>
      <c r="O306" s="24" t="s">
        <v>1794</v>
      </c>
      <c r="P306" s="24" t="s">
        <v>2215</v>
      </c>
      <c r="Q306" s="27"/>
      <c r="R306" s="27"/>
      <c r="S306" s="28" t="s">
        <v>2216</v>
      </c>
      <c r="T306" s="8" t="s">
        <v>2217</v>
      </c>
      <c r="U306" s="29" t="e">
        <v>#N/A</v>
      </c>
      <c r="V306" s="21" t="s">
        <v>1798</v>
      </c>
    </row>
    <row r="307">
      <c r="A307" s="30">
        <v>7.290003009329E12</v>
      </c>
      <c r="B307" s="20" t="s">
        <v>2218</v>
      </c>
      <c r="C307" s="21">
        <v>0.12</v>
      </c>
      <c r="D307" s="21">
        <v>0.19</v>
      </c>
      <c r="E307" s="21">
        <v>0.02</v>
      </c>
      <c r="F307" s="22">
        <v>15.0</v>
      </c>
      <c r="G307" s="23"/>
      <c r="H307" s="24" t="s">
        <v>2197</v>
      </c>
      <c r="I307" s="21" t="s">
        <v>2198</v>
      </c>
      <c r="J307" s="24"/>
      <c r="K307" s="24" t="s">
        <v>2219</v>
      </c>
      <c r="L307" s="20" t="s">
        <v>2220</v>
      </c>
      <c r="M307" s="25" t="s">
        <v>2221</v>
      </c>
      <c r="N307" s="26" t="s">
        <v>37</v>
      </c>
      <c r="O307" s="24" t="s">
        <v>1794</v>
      </c>
      <c r="P307" s="24" t="s">
        <v>1854</v>
      </c>
      <c r="Q307" s="27"/>
      <c r="R307" s="27"/>
      <c r="S307" s="28" t="s">
        <v>2222</v>
      </c>
      <c r="T307" s="8" t="s">
        <v>2223</v>
      </c>
      <c r="U307" s="29" t="e">
        <v>#N/A</v>
      </c>
      <c r="V307" s="21" t="s">
        <v>1798</v>
      </c>
    </row>
    <row r="308">
      <c r="A308" s="30">
        <v>7.290003009336E12</v>
      </c>
      <c r="B308" s="20" t="s">
        <v>2224</v>
      </c>
      <c r="C308" s="21">
        <v>0.12</v>
      </c>
      <c r="D308" s="21">
        <v>0.19</v>
      </c>
      <c r="E308" s="21">
        <v>0.02</v>
      </c>
      <c r="F308" s="22">
        <v>15.0</v>
      </c>
      <c r="G308" s="23"/>
      <c r="H308" s="24" t="s">
        <v>2197</v>
      </c>
      <c r="I308" s="21" t="s">
        <v>2198</v>
      </c>
      <c r="J308" s="24"/>
      <c r="K308" s="24" t="s">
        <v>2225</v>
      </c>
      <c r="L308" s="20" t="s">
        <v>2226</v>
      </c>
      <c r="M308" s="25" t="s">
        <v>2227</v>
      </c>
      <c r="N308" s="26" t="s">
        <v>37</v>
      </c>
      <c r="O308" s="24" t="s">
        <v>1794</v>
      </c>
      <c r="P308" s="24" t="s">
        <v>2228</v>
      </c>
      <c r="Q308" s="27"/>
      <c r="R308" s="27"/>
      <c r="S308" s="28" t="s">
        <v>2229</v>
      </c>
      <c r="T308" s="8" t="s">
        <v>2230</v>
      </c>
      <c r="U308" s="29" t="e">
        <v>#N/A</v>
      </c>
      <c r="V308" s="21" t="s">
        <v>1798</v>
      </c>
    </row>
    <row r="309">
      <c r="A309" s="30">
        <v>7.290000148618E12</v>
      </c>
      <c r="B309" s="20" t="s">
        <v>2231</v>
      </c>
      <c r="C309" s="21">
        <v>0.135</v>
      </c>
      <c r="D309" s="21">
        <v>0.19</v>
      </c>
      <c r="E309" s="21">
        <v>0.02</v>
      </c>
      <c r="F309" s="22">
        <v>15.0</v>
      </c>
      <c r="G309" s="23"/>
      <c r="H309" s="24" t="s">
        <v>2197</v>
      </c>
      <c r="I309" s="21" t="s">
        <v>2198</v>
      </c>
      <c r="J309" s="24"/>
      <c r="K309" s="24" t="s">
        <v>2232</v>
      </c>
      <c r="L309" s="20" t="s">
        <v>2233</v>
      </c>
      <c r="M309" s="25" t="s">
        <v>2234</v>
      </c>
      <c r="N309" s="26" t="s">
        <v>37</v>
      </c>
      <c r="O309" s="24" t="s">
        <v>1794</v>
      </c>
      <c r="P309" s="24" t="s">
        <v>1841</v>
      </c>
      <c r="Q309" s="27"/>
      <c r="R309" s="27"/>
      <c r="S309" s="31" t="s">
        <v>2235</v>
      </c>
      <c r="T309" s="33" t="s">
        <v>2236</v>
      </c>
      <c r="U309" s="29" t="e">
        <v>#N/A</v>
      </c>
      <c r="V309" s="21" t="s">
        <v>1798</v>
      </c>
    </row>
    <row r="310">
      <c r="A310" s="30">
        <v>7.290000377209E12</v>
      </c>
      <c r="B310" s="20" t="s">
        <v>2237</v>
      </c>
      <c r="C310" s="21">
        <v>0.125</v>
      </c>
      <c r="D310" s="21">
        <v>0.18</v>
      </c>
      <c r="E310" s="21">
        <v>0.02</v>
      </c>
      <c r="F310" s="22">
        <v>15.0</v>
      </c>
      <c r="G310" s="23"/>
      <c r="H310" s="24" t="s">
        <v>2197</v>
      </c>
      <c r="I310" s="21" t="s">
        <v>2198</v>
      </c>
      <c r="J310" s="24"/>
      <c r="K310" s="24" t="s">
        <v>2238</v>
      </c>
      <c r="L310" s="20" t="s">
        <v>2239</v>
      </c>
      <c r="M310" s="25" t="s">
        <v>2240</v>
      </c>
      <c r="N310" s="26" t="s">
        <v>28</v>
      </c>
      <c r="O310" s="24" t="s">
        <v>1794</v>
      </c>
      <c r="P310" s="24" t="s">
        <v>1810</v>
      </c>
      <c r="Q310" s="27"/>
      <c r="R310" s="27"/>
      <c r="S310" s="28" t="s">
        <v>2241</v>
      </c>
      <c r="T310" s="8" t="s">
        <v>2240</v>
      </c>
      <c r="U310" s="29" t="s">
        <v>2210</v>
      </c>
      <c r="V310" s="21" t="s">
        <v>1798</v>
      </c>
    </row>
    <row r="311">
      <c r="A311" s="30">
        <v>7.290111351327E12</v>
      </c>
      <c r="B311" s="20" t="s">
        <v>2242</v>
      </c>
      <c r="C311" s="21">
        <v>0.297</v>
      </c>
      <c r="D311" s="21">
        <v>0.19</v>
      </c>
      <c r="E311" s="21">
        <v>0.03</v>
      </c>
      <c r="F311" s="22">
        <v>15.0</v>
      </c>
      <c r="G311" s="23"/>
      <c r="H311" s="24" t="s">
        <v>2197</v>
      </c>
      <c r="I311" s="21" t="s">
        <v>2198</v>
      </c>
      <c r="J311" s="24"/>
      <c r="K311" s="24" t="s">
        <v>2243</v>
      </c>
      <c r="L311" s="20" t="s">
        <v>2244</v>
      </c>
      <c r="M311" s="25" t="s">
        <v>2245</v>
      </c>
      <c r="N311" s="26" t="s">
        <v>28</v>
      </c>
      <c r="O311" s="24" t="s">
        <v>1794</v>
      </c>
      <c r="P311" s="24" t="s">
        <v>1795</v>
      </c>
      <c r="Q311" s="27"/>
      <c r="R311" s="27"/>
      <c r="S311" s="28" t="s">
        <v>2246</v>
      </c>
      <c r="T311" s="8" t="s">
        <v>2245</v>
      </c>
      <c r="U311" s="29" t="s">
        <v>2210</v>
      </c>
      <c r="V311" s="21" t="s">
        <v>1798</v>
      </c>
    </row>
    <row r="312">
      <c r="A312" s="30">
        <v>7.290000377445E12</v>
      </c>
      <c r="B312" s="20" t="s">
        <v>2247</v>
      </c>
      <c r="C312" s="21">
        <v>0.11</v>
      </c>
      <c r="D312" s="21">
        <v>0.19</v>
      </c>
      <c r="E312" s="21">
        <v>0.02</v>
      </c>
      <c r="F312" s="22">
        <v>15.0</v>
      </c>
      <c r="G312" s="23"/>
      <c r="H312" s="24" t="s">
        <v>2197</v>
      </c>
      <c r="I312" s="21" t="s">
        <v>2198</v>
      </c>
      <c r="J312" s="24"/>
      <c r="K312" s="24" t="s">
        <v>2248</v>
      </c>
      <c r="L312" s="20" t="s">
        <v>2249</v>
      </c>
      <c r="M312" s="25" t="s">
        <v>2250</v>
      </c>
      <c r="N312" s="26" t="s">
        <v>37</v>
      </c>
      <c r="O312" s="24" t="s">
        <v>1794</v>
      </c>
      <c r="P312" s="24" t="s">
        <v>1795</v>
      </c>
      <c r="Q312" s="27"/>
      <c r="R312" s="27"/>
      <c r="S312" s="28" t="s">
        <v>2251</v>
      </c>
      <c r="T312" s="8" t="s">
        <v>2252</v>
      </c>
      <c r="U312" s="29" t="e">
        <v>#N/A</v>
      </c>
      <c r="V312" s="21" t="s">
        <v>1798</v>
      </c>
    </row>
    <row r="313">
      <c r="A313" s="30">
        <v>7.290003142699E12</v>
      </c>
      <c r="B313" s="20" t="s">
        <v>2253</v>
      </c>
      <c r="C313" s="21">
        <v>0.1186</v>
      </c>
      <c r="D313" s="21">
        <v>0.19</v>
      </c>
      <c r="E313" s="21">
        <v>0.03</v>
      </c>
      <c r="F313" s="22">
        <v>15.0</v>
      </c>
      <c r="G313" s="23"/>
      <c r="H313" s="24" t="s">
        <v>2197</v>
      </c>
      <c r="I313" s="21" t="s">
        <v>2198</v>
      </c>
      <c r="J313" s="24"/>
      <c r="K313" s="24" t="s">
        <v>2254</v>
      </c>
      <c r="L313" s="20" t="s">
        <v>2255</v>
      </c>
      <c r="M313" s="25" t="s">
        <v>2256</v>
      </c>
      <c r="N313" s="26" t="s">
        <v>28</v>
      </c>
      <c r="O313" s="24" t="s">
        <v>1794</v>
      </c>
      <c r="P313" s="24" t="s">
        <v>1795</v>
      </c>
      <c r="Q313" s="27"/>
      <c r="R313" s="27"/>
      <c r="S313" s="28" t="s">
        <v>2257</v>
      </c>
      <c r="T313" s="8" t="s">
        <v>2256</v>
      </c>
      <c r="U313" s="29" t="s">
        <v>2210</v>
      </c>
      <c r="V313" s="21" t="s">
        <v>1798</v>
      </c>
    </row>
    <row r="314">
      <c r="A314" s="30">
        <v>7.290003145584E12</v>
      </c>
      <c r="B314" s="20" t="s">
        <v>2258</v>
      </c>
      <c r="C314" s="21">
        <v>0.08</v>
      </c>
      <c r="D314" s="21">
        <v>0.19</v>
      </c>
      <c r="E314" s="21">
        <v>0.02</v>
      </c>
      <c r="F314" s="22">
        <v>15.0</v>
      </c>
      <c r="G314" s="23"/>
      <c r="H314" s="24" t="s">
        <v>2197</v>
      </c>
      <c r="I314" s="21" t="s">
        <v>2198</v>
      </c>
      <c r="J314" s="24"/>
      <c r="K314" s="24" t="s">
        <v>2259</v>
      </c>
      <c r="L314" s="20" t="s">
        <v>2260</v>
      </c>
      <c r="M314" s="25" t="s">
        <v>2261</v>
      </c>
      <c r="N314" s="26" t="s">
        <v>37</v>
      </c>
      <c r="O314" s="24" t="s">
        <v>1794</v>
      </c>
      <c r="P314" s="24" t="s">
        <v>1828</v>
      </c>
      <c r="Q314" s="27"/>
      <c r="R314" s="27"/>
      <c r="S314" s="31" t="s">
        <v>2262</v>
      </c>
      <c r="T314" s="33" t="s">
        <v>2263</v>
      </c>
      <c r="U314" s="29" t="e">
        <v>#N/A</v>
      </c>
      <c r="V314" s="21" t="s">
        <v>1798</v>
      </c>
    </row>
    <row r="315">
      <c r="A315" s="30">
        <v>7.290003145577E12</v>
      </c>
      <c r="B315" s="20" t="s">
        <v>2264</v>
      </c>
      <c r="C315" s="21">
        <v>0.08</v>
      </c>
      <c r="D315" s="21">
        <v>0.19</v>
      </c>
      <c r="E315" s="21">
        <v>0.02</v>
      </c>
      <c r="F315" s="22">
        <v>15.0</v>
      </c>
      <c r="G315" s="23"/>
      <c r="H315" s="24" t="s">
        <v>2197</v>
      </c>
      <c r="I315" s="21" t="s">
        <v>2198</v>
      </c>
      <c r="J315" s="24"/>
      <c r="K315" s="24" t="s">
        <v>2265</v>
      </c>
      <c r="L315" s="20" t="s">
        <v>2266</v>
      </c>
      <c r="M315" s="25" t="s">
        <v>2267</v>
      </c>
      <c r="N315" s="26" t="s">
        <v>37</v>
      </c>
      <c r="O315" s="24" t="s">
        <v>1794</v>
      </c>
      <c r="P315" s="24" t="s">
        <v>1841</v>
      </c>
      <c r="Q315" s="27"/>
      <c r="R315" s="27"/>
      <c r="S315" s="28" t="s">
        <v>2268</v>
      </c>
      <c r="T315" s="8" t="s">
        <v>2269</v>
      </c>
      <c r="U315" s="29" t="e">
        <v>#N/A</v>
      </c>
      <c r="V315" s="21" t="s">
        <v>1798</v>
      </c>
    </row>
    <row r="316">
      <c r="A316" s="30">
        <v>7.290003009312E12</v>
      </c>
      <c r="B316" s="20" t="s">
        <v>2270</v>
      </c>
      <c r="C316" s="21">
        <v>0.11</v>
      </c>
      <c r="D316" s="21">
        <v>0.19</v>
      </c>
      <c r="E316" s="21">
        <v>0.02</v>
      </c>
      <c r="F316" s="22">
        <v>15.0</v>
      </c>
      <c r="G316" s="23"/>
      <c r="H316" s="24" t="s">
        <v>2197</v>
      </c>
      <c r="I316" s="21" t="s">
        <v>2198</v>
      </c>
      <c r="J316" s="24"/>
      <c r="K316" s="24" t="s">
        <v>2271</v>
      </c>
      <c r="L316" s="20" t="s">
        <v>2272</v>
      </c>
      <c r="M316" s="25" t="s">
        <v>2273</v>
      </c>
      <c r="N316" s="26" t="s">
        <v>37</v>
      </c>
      <c r="O316" s="24" t="s">
        <v>1794</v>
      </c>
      <c r="P316" s="24" t="s">
        <v>1810</v>
      </c>
      <c r="Q316" s="27"/>
      <c r="R316" s="27"/>
      <c r="S316" s="28" t="s">
        <v>2274</v>
      </c>
      <c r="T316" s="8" t="s">
        <v>2275</v>
      </c>
      <c r="U316" s="29" t="e">
        <v>#N/A</v>
      </c>
      <c r="V316" s="21" t="s">
        <v>1798</v>
      </c>
    </row>
    <row r="317">
      <c r="A317" s="30">
        <v>7.29000014838E12</v>
      </c>
      <c r="B317" s="20" t="s">
        <v>2276</v>
      </c>
      <c r="C317" s="21">
        <v>0.14</v>
      </c>
      <c r="D317" s="21">
        <v>0.19</v>
      </c>
      <c r="E317" s="21">
        <v>0.02</v>
      </c>
      <c r="F317" s="22">
        <v>15.0</v>
      </c>
      <c r="G317" s="23"/>
      <c r="H317" s="24" t="s">
        <v>2197</v>
      </c>
      <c r="I317" s="21" t="s">
        <v>2198</v>
      </c>
      <c r="J317" s="24"/>
      <c r="K317" s="24" t="s">
        <v>2277</v>
      </c>
      <c r="L317" s="20" t="s">
        <v>2278</v>
      </c>
      <c r="M317" s="25" t="s">
        <v>2279</v>
      </c>
      <c r="N317" s="26" t="s">
        <v>37</v>
      </c>
      <c r="O317" s="24" t="s">
        <v>1794</v>
      </c>
      <c r="P317" s="24" t="s">
        <v>1828</v>
      </c>
      <c r="Q317" s="27"/>
      <c r="R317" s="27"/>
      <c r="S317" s="28" t="s">
        <v>2280</v>
      </c>
      <c r="T317" s="8" t="s">
        <v>2281</v>
      </c>
      <c r="U317" s="29" t="e">
        <v>#N/A</v>
      </c>
      <c r="V317" s="21" t="s">
        <v>1798</v>
      </c>
    </row>
    <row r="318">
      <c r="A318" s="30">
        <v>7.290000148748E12</v>
      </c>
      <c r="B318" s="20" t="s">
        <v>2282</v>
      </c>
      <c r="C318" s="21">
        <v>0.11</v>
      </c>
      <c r="D318" s="21">
        <v>0.19</v>
      </c>
      <c r="E318" s="21">
        <v>0.02</v>
      </c>
      <c r="F318" s="22">
        <v>15.0</v>
      </c>
      <c r="G318" s="23"/>
      <c r="H318" s="24" t="s">
        <v>2197</v>
      </c>
      <c r="I318" s="21" t="s">
        <v>2198</v>
      </c>
      <c r="J318" s="24"/>
      <c r="K318" s="24" t="s">
        <v>2283</v>
      </c>
      <c r="L318" s="20" t="s">
        <v>2284</v>
      </c>
      <c r="M318" s="25" t="s">
        <v>2285</v>
      </c>
      <c r="N318" s="26" t="s">
        <v>37</v>
      </c>
      <c r="O318" s="24" t="s">
        <v>1794</v>
      </c>
      <c r="P318" s="24" t="s">
        <v>1803</v>
      </c>
      <c r="Q318" s="27"/>
      <c r="R318" s="27"/>
      <c r="S318" s="31" t="s">
        <v>2286</v>
      </c>
      <c r="T318" s="8" t="s">
        <v>2287</v>
      </c>
      <c r="U318" s="29" t="e">
        <v>#N/A</v>
      </c>
      <c r="V318" s="21" t="s">
        <v>1798</v>
      </c>
    </row>
    <row r="319">
      <c r="A319" s="30">
        <v>7.290003145768E12</v>
      </c>
      <c r="B319" s="20" t="s">
        <v>2288</v>
      </c>
      <c r="C319" s="21">
        <v>0.06</v>
      </c>
      <c r="D319" s="21">
        <v>0.075</v>
      </c>
      <c r="E319" s="21">
        <v>0.24</v>
      </c>
      <c r="F319" s="22">
        <v>15.0</v>
      </c>
      <c r="G319" s="23"/>
      <c r="H319" s="24" t="s">
        <v>2197</v>
      </c>
      <c r="I319" s="21" t="s">
        <v>2198</v>
      </c>
      <c r="J319" s="24"/>
      <c r="K319" s="24" t="s">
        <v>2289</v>
      </c>
      <c r="L319" s="20" t="s">
        <v>2290</v>
      </c>
      <c r="M319" s="25" t="s">
        <v>2291</v>
      </c>
      <c r="N319" s="26" t="s">
        <v>37</v>
      </c>
      <c r="O319" s="24" t="s">
        <v>1794</v>
      </c>
      <c r="P319" s="24" t="s">
        <v>1854</v>
      </c>
      <c r="Q319" s="27"/>
      <c r="R319" s="27"/>
      <c r="S319" s="31" t="s">
        <v>2292</v>
      </c>
      <c r="T319" s="33" t="s">
        <v>2293</v>
      </c>
      <c r="U319" s="29" t="e">
        <v>#N/A</v>
      </c>
      <c r="V319" s="21" t="s">
        <v>1798</v>
      </c>
    </row>
    <row r="320">
      <c r="A320" s="30">
        <v>7.29000314556E12</v>
      </c>
      <c r="B320" s="20" t="s">
        <v>2294</v>
      </c>
      <c r="C320" s="21">
        <v>0.08</v>
      </c>
      <c r="D320" s="21">
        <v>0.19</v>
      </c>
      <c r="E320" s="21">
        <v>0.02</v>
      </c>
      <c r="F320" s="22">
        <v>15.0</v>
      </c>
      <c r="G320" s="23"/>
      <c r="H320" s="24" t="s">
        <v>2197</v>
      </c>
      <c r="I320" s="21" t="s">
        <v>2198</v>
      </c>
      <c r="J320" s="24"/>
      <c r="K320" s="24" t="s">
        <v>2295</v>
      </c>
      <c r="L320" s="20" t="s">
        <v>2296</v>
      </c>
      <c r="M320" s="25" t="s">
        <v>2297</v>
      </c>
      <c r="N320" s="26" t="s">
        <v>37</v>
      </c>
      <c r="O320" s="24" t="s">
        <v>1794</v>
      </c>
      <c r="P320" s="24" t="s">
        <v>2215</v>
      </c>
      <c r="Q320" s="27"/>
      <c r="R320" s="27"/>
      <c r="S320" s="28" t="s">
        <v>2298</v>
      </c>
      <c r="T320" s="8" t="s">
        <v>2299</v>
      </c>
      <c r="U320" s="29" t="e">
        <v>#N/A</v>
      </c>
      <c r="V320" s="21" t="s">
        <v>1798</v>
      </c>
    </row>
    <row r="321">
      <c r="A321" s="30">
        <v>7.290000377452E12</v>
      </c>
      <c r="B321" s="20" t="s">
        <v>2300</v>
      </c>
      <c r="C321" s="21">
        <v>0.11</v>
      </c>
      <c r="D321" s="21">
        <v>0.19</v>
      </c>
      <c r="E321" s="21">
        <v>0.02</v>
      </c>
      <c r="F321" s="22">
        <v>15.0</v>
      </c>
      <c r="G321" s="23"/>
      <c r="H321" s="24" t="s">
        <v>2197</v>
      </c>
      <c r="I321" s="21" t="s">
        <v>2198</v>
      </c>
      <c r="J321" s="24"/>
      <c r="K321" s="24" t="s">
        <v>2301</v>
      </c>
      <c r="L321" s="20" t="s">
        <v>1859</v>
      </c>
      <c r="M321" s="25" t="s">
        <v>2302</v>
      </c>
      <c r="N321" s="26" t="s">
        <v>37</v>
      </c>
      <c r="O321" s="24" t="s">
        <v>1794</v>
      </c>
      <c r="P321" s="24" t="s">
        <v>1861</v>
      </c>
      <c r="Q321" s="27"/>
      <c r="R321" s="27"/>
      <c r="S321" s="28" t="s">
        <v>2303</v>
      </c>
      <c r="T321" s="8" t="s">
        <v>2304</v>
      </c>
      <c r="U321" s="29" t="e">
        <v>#N/A</v>
      </c>
      <c r="V321" s="21" t="s">
        <v>1798</v>
      </c>
    </row>
    <row r="322">
      <c r="A322" s="30">
        <v>7.290106664067E12</v>
      </c>
      <c r="B322" s="20" t="s">
        <v>2305</v>
      </c>
      <c r="C322" s="21">
        <v>0.11</v>
      </c>
      <c r="D322" s="21">
        <v>0.09999999</v>
      </c>
      <c r="E322" s="21">
        <v>0.075</v>
      </c>
      <c r="F322" s="22">
        <v>4.0</v>
      </c>
      <c r="G322" s="23"/>
      <c r="H322" s="24" t="s">
        <v>2306</v>
      </c>
      <c r="I322" s="21" t="s">
        <v>2307</v>
      </c>
      <c r="J322" s="24"/>
      <c r="K322" s="24" t="s">
        <v>2308</v>
      </c>
      <c r="L322" s="20" t="s">
        <v>2309</v>
      </c>
      <c r="M322" s="25" t="s">
        <v>2310</v>
      </c>
      <c r="N322" s="26" t="s">
        <v>28</v>
      </c>
      <c r="O322" s="24" t="s">
        <v>2311</v>
      </c>
      <c r="P322" s="24" t="s">
        <v>2312</v>
      </c>
      <c r="Q322" s="27"/>
      <c r="R322" s="27"/>
      <c r="S322" s="28" t="s">
        <v>2313</v>
      </c>
      <c r="T322" s="8" t="s">
        <v>2314</v>
      </c>
      <c r="U322" s="29" t="s">
        <v>2315</v>
      </c>
      <c r="V322" s="24" t="str">
        <f>iferror(VLOOKUP(A322,'tagging table'!A:G,7,0),"")</f>
        <v>Dairy</v>
      </c>
    </row>
    <row r="323">
      <c r="A323" s="30">
        <v>7.290000074481E12</v>
      </c>
      <c r="B323" s="20" t="s">
        <v>2316</v>
      </c>
      <c r="C323" s="21">
        <v>0.14</v>
      </c>
      <c r="D323" s="21">
        <v>0.135</v>
      </c>
      <c r="E323" s="21">
        <v>0.044</v>
      </c>
      <c r="F323" s="22">
        <v>7.0</v>
      </c>
      <c r="G323" s="23"/>
      <c r="H323" s="24" t="s">
        <v>2317</v>
      </c>
      <c r="I323" s="21" t="s">
        <v>2318</v>
      </c>
      <c r="J323" s="20" t="s">
        <v>950</v>
      </c>
      <c r="K323" s="24" t="s">
        <v>2319</v>
      </c>
      <c r="L323" s="20" t="s">
        <v>2320</v>
      </c>
      <c r="M323" s="25" t="s">
        <v>2321</v>
      </c>
      <c r="N323" s="26" t="s">
        <v>37</v>
      </c>
      <c r="O323" s="24" t="s">
        <v>954</v>
      </c>
      <c r="P323" s="24" t="s">
        <v>2317</v>
      </c>
      <c r="Q323" s="27"/>
      <c r="R323" s="27"/>
      <c r="S323" s="28" t="s">
        <v>2322</v>
      </c>
      <c r="T323" s="8" t="s">
        <v>2323</v>
      </c>
      <c r="U323" s="29" t="e">
        <v>#N/A</v>
      </c>
      <c r="V323" s="21" t="s">
        <v>957</v>
      </c>
    </row>
    <row r="324">
      <c r="A324" s="30">
        <v>7.290006983176E12</v>
      </c>
      <c r="B324" s="20" t="s">
        <v>2324</v>
      </c>
      <c r="C324" s="21">
        <v>0.14</v>
      </c>
      <c r="D324" s="21">
        <v>0.135</v>
      </c>
      <c r="E324" s="21">
        <v>0.044</v>
      </c>
      <c r="F324" s="22">
        <v>7.0</v>
      </c>
      <c r="G324" s="23"/>
      <c r="H324" s="24" t="s">
        <v>2317</v>
      </c>
      <c r="I324" s="21" t="s">
        <v>2318</v>
      </c>
      <c r="J324" s="20" t="s">
        <v>950</v>
      </c>
      <c r="K324" s="24" t="s">
        <v>2325</v>
      </c>
      <c r="L324" s="20" t="s">
        <v>2326</v>
      </c>
      <c r="M324" s="25" t="s">
        <v>2327</v>
      </c>
      <c r="N324" s="26" t="s">
        <v>37</v>
      </c>
      <c r="O324" s="24" t="s">
        <v>954</v>
      </c>
      <c r="P324" s="24" t="s">
        <v>2317</v>
      </c>
      <c r="Q324" s="27"/>
      <c r="R324" s="27"/>
      <c r="S324" s="28" t="s">
        <v>2328</v>
      </c>
      <c r="T324" s="8" t="s">
        <v>2329</v>
      </c>
      <c r="U324" s="29" t="e">
        <v>#N/A</v>
      </c>
      <c r="V324" s="21" t="s">
        <v>957</v>
      </c>
    </row>
    <row r="325">
      <c r="A325" s="30">
        <v>7.290000075204E12</v>
      </c>
      <c r="B325" s="20" t="s">
        <v>2330</v>
      </c>
      <c r="C325" s="21">
        <v>0.14</v>
      </c>
      <c r="D325" s="21">
        <v>0.13</v>
      </c>
      <c r="E325" s="21">
        <v>0.044</v>
      </c>
      <c r="F325" s="22">
        <v>7.0</v>
      </c>
      <c r="G325" s="23"/>
      <c r="H325" s="24" t="s">
        <v>2317</v>
      </c>
      <c r="I325" s="21" t="s">
        <v>2318</v>
      </c>
      <c r="J325" s="20" t="s">
        <v>950</v>
      </c>
      <c r="K325" s="24" t="s">
        <v>2331</v>
      </c>
      <c r="L325" s="20" t="s">
        <v>2332</v>
      </c>
      <c r="M325" s="25" t="s">
        <v>2333</v>
      </c>
      <c r="N325" s="26" t="s">
        <v>37</v>
      </c>
      <c r="O325" s="24" t="s">
        <v>954</v>
      </c>
      <c r="P325" s="24" t="s">
        <v>2317</v>
      </c>
      <c r="Q325" s="27"/>
      <c r="R325" s="27"/>
      <c r="S325" s="28" t="s">
        <v>2334</v>
      </c>
      <c r="T325" s="8" t="s">
        <v>2335</v>
      </c>
      <c r="U325" s="29" t="e">
        <v>#N/A</v>
      </c>
      <c r="V325" s="21" t="s">
        <v>957</v>
      </c>
    </row>
    <row r="326">
      <c r="A326" s="30">
        <v>7.290000077253E12</v>
      </c>
      <c r="B326" s="20" t="s">
        <v>2336</v>
      </c>
      <c r="C326" s="21">
        <v>0.14</v>
      </c>
      <c r="D326" s="21">
        <v>0.13</v>
      </c>
      <c r="E326" s="21">
        <v>0.044</v>
      </c>
      <c r="F326" s="22">
        <v>7.0</v>
      </c>
      <c r="G326" s="23"/>
      <c r="H326" s="24" t="s">
        <v>2317</v>
      </c>
      <c r="I326" s="21" t="s">
        <v>2318</v>
      </c>
      <c r="J326" s="20" t="s">
        <v>950</v>
      </c>
      <c r="K326" s="24" t="s">
        <v>2337</v>
      </c>
      <c r="L326" s="20" t="s">
        <v>2338</v>
      </c>
      <c r="M326" s="25" t="s">
        <v>2339</v>
      </c>
      <c r="N326" s="26" t="s">
        <v>37</v>
      </c>
      <c r="O326" s="24" t="s">
        <v>954</v>
      </c>
      <c r="P326" s="24" t="s">
        <v>2317</v>
      </c>
      <c r="Q326" s="27"/>
      <c r="R326" s="27"/>
      <c r="S326" s="28" t="s">
        <v>2340</v>
      </c>
      <c r="T326" s="8" t="s">
        <v>2341</v>
      </c>
      <c r="U326" s="29" t="e">
        <v>#N/A</v>
      </c>
      <c r="V326" s="21" t="s">
        <v>957</v>
      </c>
    </row>
    <row r="327">
      <c r="A327" s="30">
        <v>7.29001406638E12</v>
      </c>
      <c r="B327" s="20" t="s">
        <v>2342</v>
      </c>
      <c r="C327" s="21">
        <v>0.075</v>
      </c>
      <c r="D327" s="21">
        <v>0.195</v>
      </c>
      <c r="E327" s="21">
        <v>0.03</v>
      </c>
      <c r="F327" s="22">
        <v>10.0</v>
      </c>
      <c r="G327" s="23"/>
      <c r="H327" s="24" t="s">
        <v>2343</v>
      </c>
      <c r="I327" s="21" t="s">
        <v>2344</v>
      </c>
      <c r="J327" s="24"/>
      <c r="K327" s="24" t="s">
        <v>2345</v>
      </c>
      <c r="L327" s="20" t="s">
        <v>2346</v>
      </c>
      <c r="M327" s="25" t="s">
        <v>2347</v>
      </c>
      <c r="N327" s="26" t="s">
        <v>28</v>
      </c>
      <c r="O327" s="24" t="s">
        <v>1222</v>
      </c>
      <c r="P327" s="24" t="s">
        <v>1223</v>
      </c>
      <c r="Q327" s="27"/>
      <c r="R327" s="27"/>
      <c r="S327" s="28" t="s">
        <v>2348</v>
      </c>
      <c r="T327" s="33" t="s">
        <v>2349</v>
      </c>
      <c r="U327" s="29" t="s">
        <v>2350</v>
      </c>
      <c r="V327" s="24" t="str">
        <f>iferror(VLOOKUP(A327,'tagging table'!A:G,7,0),"")</f>
        <v>Hot Beverage</v>
      </c>
    </row>
    <row r="328">
      <c r="A328" s="30">
        <v>7.290014066373E12</v>
      </c>
      <c r="B328" s="20" t="s">
        <v>2351</v>
      </c>
      <c r="C328" s="21">
        <v>0.075</v>
      </c>
      <c r="D328" s="21">
        <v>0.195</v>
      </c>
      <c r="E328" s="21">
        <v>0.03</v>
      </c>
      <c r="F328" s="22">
        <v>10.0</v>
      </c>
      <c r="G328" s="23"/>
      <c r="H328" s="24" t="s">
        <v>2343</v>
      </c>
      <c r="I328" s="21" t="s">
        <v>2352</v>
      </c>
      <c r="J328" s="24"/>
      <c r="K328" s="24" t="s">
        <v>2353</v>
      </c>
      <c r="L328" s="20" t="s">
        <v>2354</v>
      </c>
      <c r="M328" s="25" t="s">
        <v>2355</v>
      </c>
      <c r="N328" s="26" t="s">
        <v>28</v>
      </c>
      <c r="O328" s="24" t="s">
        <v>1222</v>
      </c>
      <c r="P328" s="24" t="s">
        <v>1223</v>
      </c>
      <c r="Q328" s="27"/>
      <c r="R328" s="27"/>
      <c r="S328" s="33" t="s">
        <v>2356</v>
      </c>
      <c r="T328" s="33" t="s">
        <v>2357</v>
      </c>
      <c r="U328" s="29" t="s">
        <v>2350</v>
      </c>
      <c r="V328" s="24" t="str">
        <f>iferror(VLOOKUP(A328,'tagging table'!A:G,7,0),"")</f>
        <v>Hot Beverage</v>
      </c>
    </row>
    <row r="329">
      <c r="A329" s="30">
        <v>8.000380187249E12</v>
      </c>
      <c r="B329" s="20" t="s">
        <v>2358</v>
      </c>
      <c r="C329" s="21">
        <v>0.21</v>
      </c>
      <c r="D329" s="21">
        <v>0.09999999</v>
      </c>
      <c r="E329" s="21">
        <v>0.03</v>
      </c>
      <c r="F329" s="22">
        <v>10.0</v>
      </c>
      <c r="G329" s="23"/>
      <c r="H329" s="24" t="s">
        <v>2359</v>
      </c>
      <c r="I329" s="21" t="s">
        <v>2360</v>
      </c>
      <c r="J329" s="35" t="s">
        <v>2360</v>
      </c>
      <c r="K329" s="36" t="s">
        <v>2361</v>
      </c>
      <c r="L329" s="20" t="s">
        <v>2362</v>
      </c>
      <c r="M329" s="25" t="s">
        <v>2363</v>
      </c>
      <c r="N329" s="26" t="s">
        <v>28</v>
      </c>
      <c r="O329" s="24" t="s">
        <v>2364</v>
      </c>
      <c r="P329" s="24" t="s">
        <v>2365</v>
      </c>
      <c r="Q329" s="27"/>
      <c r="R329" s="27"/>
      <c r="S329" s="28" t="s">
        <v>2366</v>
      </c>
      <c r="T329" s="8" t="s">
        <v>2367</v>
      </c>
      <c r="U329" s="29" t="s">
        <v>2360</v>
      </c>
      <c r="V329" s="24" t="str">
        <f>iferror(VLOOKUP(A329,'tagging table'!A:G,7,0),"")</f>
        <v>Waffles &amp; cookies</v>
      </c>
    </row>
    <row r="330">
      <c r="A330" s="30">
        <v>8.000380153466E12</v>
      </c>
      <c r="B330" s="20" t="s">
        <v>2368</v>
      </c>
      <c r="C330" s="21">
        <v>0.195</v>
      </c>
      <c r="D330" s="21">
        <v>0.07</v>
      </c>
      <c r="E330" s="21">
        <v>0.02</v>
      </c>
      <c r="F330" s="22">
        <v>15.0</v>
      </c>
      <c r="G330" s="23"/>
      <c r="H330" s="24" t="s">
        <v>2359</v>
      </c>
      <c r="I330" s="21" t="s">
        <v>2360</v>
      </c>
      <c r="J330" s="35" t="s">
        <v>2360</v>
      </c>
      <c r="K330" s="36" t="s">
        <v>2369</v>
      </c>
      <c r="L330" s="20" t="s">
        <v>2370</v>
      </c>
      <c r="M330" s="25" t="s">
        <v>2371</v>
      </c>
      <c r="N330" s="26" t="s">
        <v>28</v>
      </c>
      <c r="O330" s="24" t="s">
        <v>185</v>
      </c>
      <c r="P330" s="24" t="s">
        <v>195</v>
      </c>
      <c r="Q330" s="27"/>
      <c r="R330" s="27"/>
      <c r="S330" s="31" t="s">
        <v>2372</v>
      </c>
      <c r="T330" s="33" t="s">
        <v>2373</v>
      </c>
      <c r="U330" s="29" t="s">
        <v>2360</v>
      </c>
      <c r="V330" s="24" t="str">
        <f>iferror(VLOOKUP(A330,'tagging table'!A:G,7,0),"")</f>
        <v>Waffles &amp; cookies</v>
      </c>
    </row>
    <row r="331">
      <c r="A331" s="30">
        <v>8.0001485E7</v>
      </c>
      <c r="B331" s="20" t="s">
        <v>2374</v>
      </c>
      <c r="C331" s="21">
        <v>0.09999999</v>
      </c>
      <c r="D331" s="21">
        <v>0.045</v>
      </c>
      <c r="E331" s="21">
        <v>0.02</v>
      </c>
      <c r="F331" s="22">
        <v>15.0</v>
      </c>
      <c r="G331" s="23"/>
      <c r="H331" s="24" t="s">
        <v>2359</v>
      </c>
      <c r="I331" s="21" t="s">
        <v>2360</v>
      </c>
      <c r="J331" s="24"/>
      <c r="K331" s="24" t="s">
        <v>2375</v>
      </c>
      <c r="L331" s="20" t="s">
        <v>2376</v>
      </c>
      <c r="M331" s="25" t="s">
        <v>2377</v>
      </c>
      <c r="N331" s="26" t="s">
        <v>28</v>
      </c>
      <c r="O331" s="24" t="s">
        <v>501</v>
      </c>
      <c r="P331" s="24" t="s">
        <v>502</v>
      </c>
      <c r="Q331" s="27"/>
      <c r="R331" s="27"/>
      <c r="S331" s="31" t="s">
        <v>2378</v>
      </c>
      <c r="T331" s="33" t="s">
        <v>2379</v>
      </c>
      <c r="U331" s="29" t="s">
        <v>2380</v>
      </c>
      <c r="V331" s="24" t="str">
        <f>iferror(VLOOKUP(A331,'tagging table'!A:G,7,0),"")</f>
        <v>Cashiers</v>
      </c>
    </row>
    <row r="332">
      <c r="A332" s="30">
        <v>8.0003801873E12</v>
      </c>
      <c r="B332" s="20" t="s">
        <v>2381</v>
      </c>
      <c r="C332" s="21">
        <v>0.245</v>
      </c>
      <c r="D332" s="21">
        <v>0.072</v>
      </c>
      <c r="E332" s="21">
        <v>0.035</v>
      </c>
      <c r="F332" s="22">
        <v>9.0</v>
      </c>
      <c r="G332" s="23"/>
      <c r="H332" s="24" t="s">
        <v>2359</v>
      </c>
      <c r="I332" s="21" t="s">
        <v>2360</v>
      </c>
      <c r="J332" s="35" t="s">
        <v>2360</v>
      </c>
      <c r="K332" s="36" t="s">
        <v>2382</v>
      </c>
      <c r="L332" s="20" t="s">
        <v>2383</v>
      </c>
      <c r="M332" s="25" t="s">
        <v>2384</v>
      </c>
      <c r="N332" s="26" t="s">
        <v>28</v>
      </c>
      <c r="O332" s="24" t="s">
        <v>2364</v>
      </c>
      <c r="P332" s="24" t="s">
        <v>2365</v>
      </c>
      <c r="Q332" s="27"/>
      <c r="R332" s="27"/>
      <c r="S332" s="31" t="s">
        <v>2385</v>
      </c>
      <c r="T332" s="33" t="s">
        <v>2386</v>
      </c>
      <c r="U332" s="29" t="s">
        <v>2360</v>
      </c>
      <c r="V332" s="24" t="str">
        <f>iferror(VLOOKUP(A332,'tagging table'!A:G,7,0),"")</f>
        <v>Waffles &amp; cookies</v>
      </c>
    </row>
    <row r="333">
      <c r="A333" s="30">
        <v>8.0001461E7</v>
      </c>
      <c r="B333" s="20" t="s">
        <v>2387</v>
      </c>
      <c r="C333" s="21">
        <v>0.09999999</v>
      </c>
      <c r="D333" s="21">
        <v>0.045</v>
      </c>
      <c r="E333" s="21">
        <v>0.02</v>
      </c>
      <c r="F333" s="22">
        <v>15.0</v>
      </c>
      <c r="G333" s="23"/>
      <c r="H333" s="24" t="s">
        <v>2359</v>
      </c>
      <c r="I333" s="21" t="s">
        <v>2360</v>
      </c>
      <c r="J333" s="24"/>
      <c r="K333" s="24" t="s">
        <v>2388</v>
      </c>
      <c r="L333" s="20" t="s">
        <v>2389</v>
      </c>
      <c r="M333" s="25" t="s">
        <v>2390</v>
      </c>
      <c r="N333" s="26" t="s">
        <v>28</v>
      </c>
      <c r="O333" s="24" t="s">
        <v>501</v>
      </c>
      <c r="P333" s="24" t="s">
        <v>502</v>
      </c>
      <c r="Q333" s="27"/>
      <c r="R333" s="27"/>
      <c r="S333" s="31" t="s">
        <v>2391</v>
      </c>
      <c r="T333" s="8" t="s">
        <v>2392</v>
      </c>
      <c r="U333" s="29" t="s">
        <v>2380</v>
      </c>
      <c r="V333" s="24" t="str">
        <f>iferror(VLOOKUP(A333,'tagging table'!A:G,7,0),"")</f>
        <v>Cashiers</v>
      </c>
    </row>
    <row r="334">
      <c r="A334" s="30">
        <v>8.000380003761E12</v>
      </c>
      <c r="B334" s="20" t="s">
        <v>2393</v>
      </c>
      <c r="C334" s="21">
        <v>0.245</v>
      </c>
      <c r="D334" s="21">
        <v>0.075</v>
      </c>
      <c r="E334" s="21">
        <v>0.05</v>
      </c>
      <c r="F334" s="22">
        <v>6.0</v>
      </c>
      <c r="G334" s="23"/>
      <c r="H334" s="24" t="s">
        <v>2359</v>
      </c>
      <c r="I334" s="21" t="s">
        <v>2360</v>
      </c>
      <c r="J334" s="35" t="s">
        <v>2360</v>
      </c>
      <c r="K334" s="36" t="s">
        <v>2394</v>
      </c>
      <c r="L334" s="20" t="s">
        <v>2395</v>
      </c>
      <c r="M334" s="25" t="s">
        <v>2396</v>
      </c>
      <c r="N334" s="26" t="s">
        <v>28</v>
      </c>
      <c r="O334" s="24" t="s">
        <v>185</v>
      </c>
      <c r="P334" s="24" t="s">
        <v>186</v>
      </c>
      <c r="Q334" s="27"/>
      <c r="R334" s="27"/>
      <c r="S334" s="28" t="s">
        <v>2397</v>
      </c>
      <c r="T334" s="8" t="s">
        <v>2398</v>
      </c>
      <c r="U334" s="29" t="s">
        <v>2360</v>
      </c>
      <c r="V334" s="24" t="str">
        <f>iferror(VLOOKUP(A334,'tagging table'!A:G,7,0),"")</f>
        <v>Waffles &amp; cookies</v>
      </c>
    </row>
    <row r="335">
      <c r="A335" s="30">
        <v>8.000380187119E12</v>
      </c>
      <c r="B335" s="20" t="s">
        <v>2399</v>
      </c>
      <c r="C335" s="21">
        <v>0.21</v>
      </c>
      <c r="D335" s="21">
        <v>0.09999999</v>
      </c>
      <c r="E335" s="21">
        <v>0.03</v>
      </c>
      <c r="F335" s="22">
        <v>10.0</v>
      </c>
      <c r="G335" s="23"/>
      <c r="H335" s="24" t="s">
        <v>2359</v>
      </c>
      <c r="I335" s="21" t="s">
        <v>2360</v>
      </c>
      <c r="J335" s="35" t="s">
        <v>2360</v>
      </c>
      <c r="K335" s="36" t="s">
        <v>2400</v>
      </c>
      <c r="L335" s="20" t="s">
        <v>2401</v>
      </c>
      <c r="M335" s="25" t="s">
        <v>2402</v>
      </c>
      <c r="N335" s="26" t="s">
        <v>28</v>
      </c>
      <c r="O335" s="24" t="s">
        <v>2364</v>
      </c>
      <c r="P335" s="24" t="s">
        <v>2365</v>
      </c>
      <c r="Q335" s="27"/>
      <c r="R335" s="27"/>
      <c r="S335" s="28" t="s">
        <v>2403</v>
      </c>
      <c r="T335" s="8" t="s">
        <v>2404</v>
      </c>
      <c r="U335" s="29" t="s">
        <v>2360</v>
      </c>
      <c r="V335" s="24" t="str">
        <f>iferror(VLOOKUP(A335,'tagging table'!A:G,7,0),"")</f>
        <v>Waffles &amp; cookies</v>
      </c>
    </row>
    <row r="336">
      <c r="A336" s="30">
        <v>8.000380004911E12</v>
      </c>
      <c r="B336" s="20" t="s">
        <v>2405</v>
      </c>
      <c r="C336" s="21">
        <v>0.13</v>
      </c>
      <c r="D336" s="21">
        <v>0.2</v>
      </c>
      <c r="E336" s="21">
        <v>0.07</v>
      </c>
      <c r="F336" s="22">
        <v>4.0</v>
      </c>
      <c r="G336" s="23"/>
      <c r="H336" s="24" t="s">
        <v>2359</v>
      </c>
      <c r="I336" s="21" t="s">
        <v>2360</v>
      </c>
      <c r="J336" s="35" t="s">
        <v>2360</v>
      </c>
      <c r="K336" s="36" t="s">
        <v>2406</v>
      </c>
      <c r="L336" s="20" t="s">
        <v>2407</v>
      </c>
      <c r="M336" s="25" t="s">
        <v>2408</v>
      </c>
      <c r="N336" s="26" t="s">
        <v>28</v>
      </c>
      <c r="O336" s="24" t="s">
        <v>185</v>
      </c>
      <c r="P336" s="24" t="s">
        <v>2409</v>
      </c>
      <c r="Q336" s="27"/>
      <c r="R336" s="27"/>
      <c r="S336" s="28" t="s">
        <v>2410</v>
      </c>
      <c r="T336" s="8" t="s">
        <v>2411</v>
      </c>
      <c r="U336" s="29" t="s">
        <v>2360</v>
      </c>
      <c r="V336" s="24" t="str">
        <f>iferror(VLOOKUP(A336,'tagging table'!A:G,7,0),"")</f>
        <v>Waffles &amp; cookies</v>
      </c>
    </row>
    <row r="337">
      <c r="A337" s="30">
        <v>8.000380004966E12</v>
      </c>
      <c r="B337" s="20" t="s">
        <v>2412</v>
      </c>
      <c r="C337" s="21">
        <v>0.13</v>
      </c>
      <c r="D337" s="21">
        <v>0.2</v>
      </c>
      <c r="E337" s="21">
        <v>0.07</v>
      </c>
      <c r="F337" s="22">
        <v>4.0</v>
      </c>
      <c r="G337" s="23"/>
      <c r="H337" s="24" t="s">
        <v>2359</v>
      </c>
      <c r="I337" s="21" t="s">
        <v>2360</v>
      </c>
      <c r="J337" s="35" t="s">
        <v>2360</v>
      </c>
      <c r="K337" s="36" t="s">
        <v>2413</v>
      </c>
      <c r="L337" s="20" t="s">
        <v>2414</v>
      </c>
      <c r="M337" s="25" t="s">
        <v>2415</v>
      </c>
      <c r="N337" s="26" t="s">
        <v>28</v>
      </c>
      <c r="O337" s="24" t="s">
        <v>185</v>
      </c>
      <c r="P337" s="24" t="s">
        <v>2409</v>
      </c>
      <c r="Q337" s="27"/>
      <c r="R337" s="27"/>
      <c r="S337" s="31" t="s">
        <v>2416</v>
      </c>
      <c r="T337" s="33" t="s">
        <v>2417</v>
      </c>
      <c r="U337" s="29" t="s">
        <v>2360</v>
      </c>
      <c r="V337" s="24" t="str">
        <f>iferror(VLOOKUP(A337,'tagging table'!A:G,7,0),"")</f>
        <v>Waffles &amp; cookies</v>
      </c>
    </row>
    <row r="338">
      <c r="A338" s="30">
        <v>8.000380180745E12</v>
      </c>
      <c r="B338" s="20" t="s">
        <v>2418</v>
      </c>
      <c r="C338" s="21">
        <v>0.13</v>
      </c>
      <c r="D338" s="21">
        <v>0.2</v>
      </c>
      <c r="E338" s="21">
        <v>0.07</v>
      </c>
      <c r="F338" s="22">
        <v>4.0</v>
      </c>
      <c r="G338" s="23"/>
      <c r="H338" s="24" t="s">
        <v>2359</v>
      </c>
      <c r="I338" s="21" t="s">
        <v>2360</v>
      </c>
      <c r="J338" s="35" t="s">
        <v>2360</v>
      </c>
      <c r="K338" s="36" t="s">
        <v>2419</v>
      </c>
      <c r="L338" s="20" t="s">
        <v>2420</v>
      </c>
      <c r="M338" s="25" t="s">
        <v>2421</v>
      </c>
      <c r="N338" s="26" t="s">
        <v>28</v>
      </c>
      <c r="O338" s="24" t="s">
        <v>185</v>
      </c>
      <c r="P338" s="24" t="s">
        <v>2409</v>
      </c>
      <c r="Q338" s="27"/>
      <c r="R338" s="27"/>
      <c r="S338" s="31" t="s">
        <v>2422</v>
      </c>
      <c r="T338" s="33" t="s">
        <v>2423</v>
      </c>
      <c r="U338" s="29" t="s">
        <v>2360</v>
      </c>
      <c r="V338" s="24" t="str">
        <f>iferror(VLOOKUP(A338,'tagging table'!A:G,7,0),"")</f>
        <v>Waffles &amp; cookies</v>
      </c>
    </row>
    <row r="339">
      <c r="A339" s="30">
        <v>8.000380007219E12</v>
      </c>
      <c r="B339" s="20" t="s">
        <v>2424</v>
      </c>
      <c r="C339" s="21">
        <v>0.265</v>
      </c>
      <c r="D339" s="21">
        <v>0.09999999</v>
      </c>
      <c r="E339" s="21">
        <v>0.02</v>
      </c>
      <c r="F339" s="22">
        <v>15.0</v>
      </c>
      <c r="G339" s="23"/>
      <c r="H339" s="24" t="s">
        <v>2359</v>
      </c>
      <c r="I339" s="21" t="s">
        <v>2360</v>
      </c>
      <c r="J339" s="35" t="s">
        <v>2360</v>
      </c>
      <c r="K339" s="36" t="s">
        <v>2425</v>
      </c>
      <c r="L339" s="20" t="s">
        <v>2426</v>
      </c>
      <c r="M339" s="25" t="s">
        <v>2427</v>
      </c>
      <c r="N339" s="26" t="s">
        <v>28</v>
      </c>
      <c r="O339" s="24" t="s">
        <v>185</v>
      </c>
      <c r="P339" s="24" t="s">
        <v>226</v>
      </c>
      <c r="Q339" s="27"/>
      <c r="R339" s="27"/>
      <c r="S339" s="28" t="s">
        <v>2428</v>
      </c>
      <c r="T339" s="8" t="s">
        <v>2429</v>
      </c>
      <c r="U339" s="29" t="s">
        <v>2360</v>
      </c>
      <c r="V339" s="24" t="str">
        <f>iferror(VLOOKUP(A339,'tagging table'!A:G,7,0),"")</f>
        <v>Waffles &amp; cookies</v>
      </c>
    </row>
    <row r="340">
      <c r="A340" s="30">
        <v>8.000380007257E12</v>
      </c>
      <c r="B340" s="20" t="s">
        <v>2430</v>
      </c>
      <c r="C340" s="21">
        <v>0.26</v>
      </c>
      <c r="D340" s="21">
        <v>0.09999999</v>
      </c>
      <c r="E340" s="21">
        <v>0.02</v>
      </c>
      <c r="F340" s="22">
        <v>15.0</v>
      </c>
      <c r="G340" s="23"/>
      <c r="H340" s="24" t="s">
        <v>2359</v>
      </c>
      <c r="I340" s="21" t="s">
        <v>2360</v>
      </c>
      <c r="J340" s="35" t="s">
        <v>2360</v>
      </c>
      <c r="K340" s="36" t="s">
        <v>2431</v>
      </c>
      <c r="L340" s="20" t="s">
        <v>2432</v>
      </c>
      <c r="M340" s="25" t="s">
        <v>2433</v>
      </c>
      <c r="N340" s="26" t="s">
        <v>28</v>
      </c>
      <c r="O340" s="24" t="s">
        <v>185</v>
      </c>
      <c r="P340" s="24" t="s">
        <v>186</v>
      </c>
      <c r="Q340" s="27"/>
      <c r="R340" s="27"/>
      <c r="S340" s="28" t="s">
        <v>2434</v>
      </c>
      <c r="T340" s="8" t="s">
        <v>2435</v>
      </c>
      <c r="U340" s="29" t="s">
        <v>2360</v>
      </c>
      <c r="V340" s="24" t="str">
        <f>iferror(VLOOKUP(A340,'tagging table'!A:G,7,0),"")</f>
        <v>Waffles &amp; cookies</v>
      </c>
    </row>
    <row r="341">
      <c r="A341" s="30">
        <v>8.000380003723E12</v>
      </c>
      <c r="B341" s="20" t="s">
        <v>2436</v>
      </c>
      <c r="C341" s="21">
        <v>0.245</v>
      </c>
      <c r="D341" s="21">
        <v>0.075</v>
      </c>
      <c r="E341" s="21">
        <v>0.02</v>
      </c>
      <c r="F341" s="22">
        <v>15.0</v>
      </c>
      <c r="G341" s="23"/>
      <c r="H341" s="24" t="s">
        <v>2359</v>
      </c>
      <c r="I341" s="21" t="s">
        <v>2360</v>
      </c>
      <c r="J341" s="39" t="s">
        <v>2360</v>
      </c>
      <c r="K341" s="40" t="s">
        <v>2437</v>
      </c>
      <c r="L341" s="20" t="s">
        <v>2438</v>
      </c>
      <c r="M341" s="25" t="s">
        <v>2439</v>
      </c>
      <c r="N341" s="26" t="s">
        <v>28</v>
      </c>
      <c r="O341" s="24" t="s">
        <v>185</v>
      </c>
      <c r="P341" s="24" t="s">
        <v>186</v>
      </c>
      <c r="Q341" s="27"/>
      <c r="R341" s="27"/>
      <c r="S341" s="28" t="s">
        <v>2440</v>
      </c>
      <c r="T341" s="8" t="s">
        <v>2441</v>
      </c>
      <c r="U341" s="29" t="s">
        <v>2360</v>
      </c>
      <c r="V341" s="24" t="str">
        <f>iferror(VLOOKUP(A341,'tagging table'!A:G,7,0),"")</f>
        <v>Waffles &amp; cookies</v>
      </c>
    </row>
    <row r="342">
      <c r="A342" s="30">
        <v>8.0001027E7</v>
      </c>
      <c r="B342" s="20" t="s">
        <v>2442</v>
      </c>
      <c r="C342" s="21">
        <v>0.095</v>
      </c>
      <c r="D342" s="21">
        <v>0.065</v>
      </c>
      <c r="E342" s="21">
        <v>0.02</v>
      </c>
      <c r="F342" s="22">
        <v>15.0</v>
      </c>
      <c r="G342" s="23"/>
      <c r="H342" s="24" t="s">
        <v>2359</v>
      </c>
      <c r="I342" s="21" t="s">
        <v>2360</v>
      </c>
      <c r="J342" s="24"/>
      <c r="K342" s="24" t="s">
        <v>2443</v>
      </c>
      <c r="L342" s="20" t="s">
        <v>2444</v>
      </c>
      <c r="M342" s="25" t="s">
        <v>2445</v>
      </c>
      <c r="N342" s="26" t="s">
        <v>28</v>
      </c>
      <c r="O342" s="24" t="s">
        <v>501</v>
      </c>
      <c r="P342" s="24" t="s">
        <v>502</v>
      </c>
      <c r="Q342" s="27"/>
      <c r="R342" s="27"/>
      <c r="S342" s="31" t="s">
        <v>2446</v>
      </c>
      <c r="T342" s="8" t="s">
        <v>2447</v>
      </c>
      <c r="U342" s="29" t="s">
        <v>2448</v>
      </c>
      <c r="V342" s="24" t="str">
        <f>iferror(VLOOKUP(A342,'tagging table'!A:G,7,0),"")</f>
        <v>Cashiers</v>
      </c>
    </row>
    <row r="343">
      <c r="A343" s="30">
        <v>8.000380153442E12</v>
      </c>
      <c r="B343" s="20" t="s">
        <v>2449</v>
      </c>
      <c r="C343" s="21">
        <v>0.195</v>
      </c>
      <c r="D343" s="21">
        <v>0.07</v>
      </c>
      <c r="E343" s="21">
        <v>0.02</v>
      </c>
      <c r="F343" s="22">
        <v>15.0</v>
      </c>
      <c r="G343" s="23"/>
      <c r="H343" s="24" t="s">
        <v>2359</v>
      </c>
      <c r="I343" s="21" t="s">
        <v>2360</v>
      </c>
      <c r="J343" s="35" t="s">
        <v>2360</v>
      </c>
      <c r="K343" s="36" t="s">
        <v>2450</v>
      </c>
      <c r="L343" s="20" t="s">
        <v>2451</v>
      </c>
      <c r="M343" s="25" t="s">
        <v>2452</v>
      </c>
      <c r="N343" s="26" t="s">
        <v>28</v>
      </c>
      <c r="O343" s="24" t="s">
        <v>185</v>
      </c>
      <c r="P343" s="24" t="s">
        <v>226</v>
      </c>
      <c r="Q343" s="27"/>
      <c r="R343" s="27"/>
      <c r="S343" s="28" t="s">
        <v>2453</v>
      </c>
      <c r="T343" s="8" t="s">
        <v>2454</v>
      </c>
      <c r="U343" s="29" t="s">
        <v>2360</v>
      </c>
      <c r="V343" s="24" t="str">
        <f>iferror(VLOOKUP(A343,'tagging table'!A:G,7,0),"")</f>
        <v>Waffles &amp; cookies</v>
      </c>
    </row>
    <row r="344">
      <c r="A344" s="30">
        <v>8.000380004676E12</v>
      </c>
      <c r="B344" s="20" t="s">
        <v>2455</v>
      </c>
      <c r="C344" s="21">
        <v>0.128</v>
      </c>
      <c r="D344" s="21">
        <v>0.22</v>
      </c>
      <c r="E344" s="21">
        <v>0.073</v>
      </c>
      <c r="F344" s="22">
        <v>4.0</v>
      </c>
      <c r="G344" s="23"/>
      <c r="H344" s="24" t="s">
        <v>2359</v>
      </c>
      <c r="I344" s="21" t="s">
        <v>2360</v>
      </c>
      <c r="J344" s="35" t="s">
        <v>2360</v>
      </c>
      <c r="K344" s="36" t="s">
        <v>2456</v>
      </c>
      <c r="L344" s="20" t="s">
        <v>2457</v>
      </c>
      <c r="M344" s="25" t="s">
        <v>2458</v>
      </c>
      <c r="N344" s="26" t="s">
        <v>28</v>
      </c>
      <c r="O344" s="24" t="s">
        <v>185</v>
      </c>
      <c r="P344" s="24" t="s">
        <v>2409</v>
      </c>
      <c r="Q344" s="27"/>
      <c r="R344" s="27"/>
      <c r="S344" s="31" t="s">
        <v>2459</v>
      </c>
      <c r="T344" s="33" t="s">
        <v>2460</v>
      </c>
      <c r="U344" s="29" t="s">
        <v>2360</v>
      </c>
      <c r="V344" s="24" t="str">
        <f>iferror(VLOOKUP(A344,'tagging table'!A:G,7,0),"")</f>
        <v>Waffles &amp; cookies</v>
      </c>
    </row>
    <row r="345">
      <c r="A345" s="30">
        <v>5.410126006339E12</v>
      </c>
      <c r="B345" s="20" t="s">
        <v>2461</v>
      </c>
      <c r="C345" s="21">
        <v>0.15</v>
      </c>
      <c r="D345" s="21">
        <v>0.08</v>
      </c>
      <c r="E345" s="21">
        <v>0.03</v>
      </c>
      <c r="F345" s="22">
        <v>10.0</v>
      </c>
      <c r="G345" s="23"/>
      <c r="H345" s="24" t="s">
        <v>2462</v>
      </c>
      <c r="I345" s="21" t="s">
        <v>2463</v>
      </c>
      <c r="J345" s="24"/>
      <c r="K345" s="24" t="s">
        <v>2464</v>
      </c>
      <c r="L345" s="20" t="s">
        <v>2465</v>
      </c>
      <c r="M345" s="25" t="s">
        <v>2466</v>
      </c>
      <c r="N345" s="26" t="s">
        <v>28</v>
      </c>
      <c r="O345" s="24" t="s">
        <v>2364</v>
      </c>
      <c r="P345" s="24" t="s">
        <v>2467</v>
      </c>
      <c r="Q345" s="27"/>
      <c r="R345" s="27"/>
      <c r="S345" s="31" t="s">
        <v>2468</v>
      </c>
      <c r="T345" s="8" t="s">
        <v>2469</v>
      </c>
      <c r="U345" s="29" t="s">
        <v>2470</v>
      </c>
      <c r="V345" s="24" t="str">
        <f>iferror(VLOOKUP(A345,'tagging table'!A:G,7,0),"")</f>
        <v>Waffles &amp; cookies</v>
      </c>
    </row>
    <row r="346">
      <c r="A346" s="30">
        <v>7.290008464208E12</v>
      </c>
      <c r="B346" s="20" t="s">
        <v>2471</v>
      </c>
      <c r="C346" s="21">
        <v>0.055</v>
      </c>
      <c r="D346" s="21">
        <v>0.239</v>
      </c>
      <c r="E346" s="21">
        <v>0.055</v>
      </c>
      <c r="F346" s="22">
        <v>5.0</v>
      </c>
      <c r="G346" s="23"/>
      <c r="H346" s="24" t="s">
        <v>2472</v>
      </c>
      <c r="I346" s="21" t="s">
        <v>2473</v>
      </c>
      <c r="J346" s="20" t="s">
        <v>361</v>
      </c>
      <c r="K346" s="24" t="s">
        <v>2474</v>
      </c>
      <c r="L346" s="20" t="s">
        <v>2475</v>
      </c>
      <c r="M346" s="25" t="s">
        <v>2476</v>
      </c>
      <c r="N346" s="26" t="s">
        <v>37</v>
      </c>
      <c r="O346" s="24" t="s">
        <v>365</v>
      </c>
      <c r="P346" s="24" t="s">
        <v>536</v>
      </c>
      <c r="Q346" s="27"/>
      <c r="R346" s="27"/>
      <c r="S346" s="28" t="s">
        <v>2477</v>
      </c>
      <c r="T346" s="8" t="s">
        <v>2478</v>
      </c>
      <c r="U346" s="29" t="e">
        <v>#N/A</v>
      </c>
      <c r="V346" s="21" t="s">
        <v>573</v>
      </c>
    </row>
    <row r="347">
      <c r="A347" s="30">
        <v>7.290008464222E12</v>
      </c>
      <c r="B347" s="20" t="s">
        <v>2479</v>
      </c>
      <c r="C347" s="21">
        <v>0.065</v>
      </c>
      <c r="D347" s="21">
        <v>0.17</v>
      </c>
      <c r="E347" s="21">
        <v>0.065</v>
      </c>
      <c r="F347" s="22">
        <v>5.0</v>
      </c>
      <c r="G347" s="23"/>
      <c r="H347" s="24" t="s">
        <v>2472</v>
      </c>
      <c r="I347" s="21" t="s">
        <v>2473</v>
      </c>
      <c r="J347" s="20" t="s">
        <v>361</v>
      </c>
      <c r="K347" s="24" t="s">
        <v>2480</v>
      </c>
      <c r="L347" s="20" t="s">
        <v>2481</v>
      </c>
      <c r="M347" s="25" t="s">
        <v>2482</v>
      </c>
      <c r="N347" s="26" t="s">
        <v>37</v>
      </c>
      <c r="O347" s="24" t="s">
        <v>365</v>
      </c>
      <c r="P347" s="24" t="s">
        <v>543</v>
      </c>
      <c r="Q347" s="27"/>
      <c r="R347" s="27"/>
      <c r="S347" s="28" t="s">
        <v>2483</v>
      </c>
      <c r="T347" s="8" t="s">
        <v>2484</v>
      </c>
      <c r="U347" s="29" t="e">
        <v>#N/A</v>
      </c>
      <c r="V347" s="21" t="s">
        <v>573</v>
      </c>
    </row>
    <row r="348">
      <c r="A348" s="30">
        <v>7.290008464338E12</v>
      </c>
      <c r="B348" s="20" t="s">
        <v>2485</v>
      </c>
      <c r="C348" s="21">
        <v>0.058</v>
      </c>
      <c r="D348" s="21">
        <v>0.222</v>
      </c>
      <c r="E348" s="21">
        <v>0.058</v>
      </c>
      <c r="F348" s="22">
        <v>5.0</v>
      </c>
      <c r="G348" s="23"/>
      <c r="H348" s="24" t="s">
        <v>2472</v>
      </c>
      <c r="I348" s="21" t="s">
        <v>2473</v>
      </c>
      <c r="J348" s="20" t="s">
        <v>361</v>
      </c>
      <c r="K348" s="24" t="s">
        <v>2486</v>
      </c>
      <c r="L348" s="20" t="s">
        <v>2487</v>
      </c>
      <c r="M348" s="25" t="s">
        <v>2488</v>
      </c>
      <c r="N348" s="26" t="s">
        <v>37</v>
      </c>
      <c r="O348" s="24" t="s">
        <v>365</v>
      </c>
      <c r="P348" s="24" t="s">
        <v>536</v>
      </c>
      <c r="Q348" s="27"/>
      <c r="R348" s="27"/>
      <c r="S348" s="28" t="s">
        <v>2489</v>
      </c>
      <c r="T348" s="8" t="s">
        <v>2490</v>
      </c>
      <c r="U348" s="29" t="e">
        <v>#N/A</v>
      </c>
      <c r="V348" s="21" t="s">
        <v>573</v>
      </c>
    </row>
    <row r="349">
      <c r="A349" s="30">
        <v>7.290008464475E12</v>
      </c>
      <c r="B349" s="20" t="s">
        <v>2491</v>
      </c>
      <c r="C349" s="21">
        <v>0.065</v>
      </c>
      <c r="D349" s="21">
        <v>0.17</v>
      </c>
      <c r="E349" s="21">
        <v>0.065</v>
      </c>
      <c r="F349" s="22">
        <v>5.0</v>
      </c>
      <c r="G349" s="23"/>
      <c r="H349" s="24" t="s">
        <v>2472</v>
      </c>
      <c r="I349" s="21" t="s">
        <v>2473</v>
      </c>
      <c r="J349" s="20" t="s">
        <v>361</v>
      </c>
      <c r="K349" s="24" t="s">
        <v>2492</v>
      </c>
      <c r="L349" s="20" t="s">
        <v>2493</v>
      </c>
      <c r="M349" s="25" t="s">
        <v>2494</v>
      </c>
      <c r="N349" s="26" t="s">
        <v>37</v>
      </c>
      <c r="O349" s="24" t="s">
        <v>365</v>
      </c>
      <c r="P349" s="24" t="s">
        <v>543</v>
      </c>
      <c r="Q349" s="27"/>
      <c r="R349" s="27"/>
      <c r="S349" s="28" t="s">
        <v>2495</v>
      </c>
      <c r="T349" s="8" t="s">
        <v>2496</v>
      </c>
      <c r="U349" s="29" t="e">
        <v>#N/A</v>
      </c>
      <c r="V349" s="21" t="s">
        <v>573</v>
      </c>
    </row>
    <row r="350">
      <c r="A350" s="30">
        <v>7.290012921025E12</v>
      </c>
      <c r="B350" s="20" t="s">
        <v>2497</v>
      </c>
      <c r="C350" s="21">
        <v>0.06</v>
      </c>
      <c r="D350" s="21">
        <v>0.228</v>
      </c>
      <c r="E350" s="21">
        <v>0.06</v>
      </c>
      <c r="F350" s="22">
        <v>5.0</v>
      </c>
      <c r="G350" s="23"/>
      <c r="H350" s="24" t="s">
        <v>2498</v>
      </c>
      <c r="I350" s="21" t="s">
        <v>2499</v>
      </c>
      <c r="J350" s="20" t="s">
        <v>532</v>
      </c>
      <c r="K350" s="24" t="s">
        <v>2500</v>
      </c>
      <c r="L350" s="20" t="s">
        <v>2501</v>
      </c>
      <c r="M350" s="25" t="s">
        <v>2502</v>
      </c>
      <c r="N350" s="26" t="s">
        <v>28</v>
      </c>
      <c r="O350" s="24" t="s">
        <v>365</v>
      </c>
      <c r="P350" s="24" t="s">
        <v>536</v>
      </c>
      <c r="Q350" s="27"/>
      <c r="R350" s="27"/>
      <c r="S350" s="28" t="s">
        <v>2503</v>
      </c>
      <c r="T350" s="8" t="s">
        <v>2504</v>
      </c>
      <c r="U350" s="29" t="s">
        <v>2499</v>
      </c>
      <c r="V350" s="24" t="str">
        <f>iferror(VLOOKUP(A350,'tagging table'!A:G,7,0),"")</f>
        <v>Drinks</v>
      </c>
    </row>
    <row r="351">
      <c r="A351" s="30">
        <v>7.290012921032E12</v>
      </c>
      <c r="B351" s="20" t="s">
        <v>2505</v>
      </c>
      <c r="C351" s="21">
        <v>0.06</v>
      </c>
      <c r="D351" s="21">
        <v>0.228</v>
      </c>
      <c r="E351" s="21">
        <v>0.06</v>
      </c>
      <c r="F351" s="22">
        <v>5.0</v>
      </c>
      <c r="G351" s="23"/>
      <c r="H351" s="24" t="s">
        <v>2498</v>
      </c>
      <c r="I351" s="21" t="s">
        <v>2499</v>
      </c>
      <c r="J351" s="20" t="s">
        <v>532</v>
      </c>
      <c r="K351" s="24" t="s">
        <v>2506</v>
      </c>
      <c r="L351" s="20" t="s">
        <v>2507</v>
      </c>
      <c r="M351" s="25" t="s">
        <v>2508</v>
      </c>
      <c r="N351" s="26" t="s">
        <v>28</v>
      </c>
      <c r="O351" s="24" t="s">
        <v>365</v>
      </c>
      <c r="P351" s="24" t="s">
        <v>536</v>
      </c>
      <c r="Q351" s="27"/>
      <c r="R351" s="27"/>
      <c r="S351" s="28" t="s">
        <v>2509</v>
      </c>
      <c r="T351" s="8" t="s">
        <v>2510</v>
      </c>
      <c r="U351" s="29" t="s">
        <v>2499</v>
      </c>
      <c r="V351" s="24" t="str">
        <f>iferror(VLOOKUP(A351,'tagging table'!A:G,7,0),"")</f>
        <v>Drinks</v>
      </c>
    </row>
    <row r="352">
      <c r="A352" s="30">
        <v>73750.0</v>
      </c>
      <c r="B352" s="20" t="s">
        <v>2511</v>
      </c>
      <c r="C352" s="21">
        <v>0.08</v>
      </c>
      <c r="D352" s="21">
        <v>0.09999999</v>
      </c>
      <c r="E352" s="21">
        <v>0.02</v>
      </c>
      <c r="F352" s="22">
        <v>15.0</v>
      </c>
      <c r="G352" s="23"/>
      <c r="H352" s="24" t="s">
        <v>2512</v>
      </c>
      <c r="I352" s="21" t="s">
        <v>2513</v>
      </c>
      <c r="J352" s="20" t="s">
        <v>2514</v>
      </c>
      <c r="K352" s="24" t="s">
        <v>2515</v>
      </c>
      <c r="L352" s="20" t="s">
        <v>2516</v>
      </c>
      <c r="M352" s="25" t="s">
        <v>2517</v>
      </c>
      <c r="N352" s="26" t="s">
        <v>28</v>
      </c>
      <c r="O352" s="24" t="s">
        <v>2518</v>
      </c>
      <c r="P352" s="24" t="s">
        <v>2519</v>
      </c>
      <c r="Q352" s="27"/>
      <c r="R352" s="27"/>
      <c r="S352" s="28" t="s">
        <v>2520</v>
      </c>
      <c r="T352" s="8" t="s">
        <v>2521</v>
      </c>
      <c r="U352" s="29" t="s">
        <v>2522</v>
      </c>
      <c r="V352" s="24" t="str">
        <f>iferror(VLOOKUP(A352,'tagging table'!A:G,7,0),"")</f>
        <v>RMS</v>
      </c>
    </row>
    <row r="353">
      <c r="A353" s="30">
        <v>65557.0</v>
      </c>
      <c r="B353" s="20" t="s">
        <v>2523</v>
      </c>
      <c r="C353" s="21">
        <v>0.08</v>
      </c>
      <c r="D353" s="21">
        <v>0.09999999</v>
      </c>
      <c r="E353" s="21">
        <v>0.02</v>
      </c>
      <c r="F353" s="22">
        <v>15.0</v>
      </c>
      <c r="G353" s="23"/>
      <c r="H353" s="24" t="s">
        <v>2512</v>
      </c>
      <c r="I353" s="21" t="s">
        <v>2513</v>
      </c>
      <c r="J353" s="20" t="s">
        <v>2514</v>
      </c>
      <c r="K353" s="24" t="s">
        <v>2524</v>
      </c>
      <c r="L353" s="20" t="s">
        <v>2525</v>
      </c>
      <c r="M353" s="25" t="s">
        <v>2526</v>
      </c>
      <c r="N353" s="26" t="s">
        <v>28</v>
      </c>
      <c r="O353" s="24" t="s">
        <v>2518</v>
      </c>
      <c r="P353" s="24" t="s">
        <v>2519</v>
      </c>
      <c r="Q353" s="27"/>
      <c r="R353" s="27"/>
      <c r="S353" s="28" t="s">
        <v>2527</v>
      </c>
      <c r="T353" s="8" t="s">
        <v>2528</v>
      </c>
      <c r="U353" s="29" t="s">
        <v>2522</v>
      </c>
      <c r="V353" s="24" t="str">
        <f>iferror(VLOOKUP(A353,'tagging table'!A:G,7,0),"")</f>
        <v>RMS</v>
      </c>
    </row>
    <row r="354">
      <c r="A354" s="30">
        <v>67599.0</v>
      </c>
      <c r="B354" s="20" t="s">
        <v>2529</v>
      </c>
      <c r="C354" s="21">
        <v>0.08</v>
      </c>
      <c r="D354" s="21">
        <v>0.09999999</v>
      </c>
      <c r="E354" s="21">
        <v>0.02</v>
      </c>
      <c r="F354" s="22">
        <v>15.0</v>
      </c>
      <c r="G354" s="23"/>
      <c r="H354" s="24" t="s">
        <v>2512</v>
      </c>
      <c r="I354" s="21" t="s">
        <v>2513</v>
      </c>
      <c r="J354" s="20" t="s">
        <v>2514</v>
      </c>
      <c r="K354" s="24" t="s">
        <v>2530</v>
      </c>
      <c r="L354" s="20" t="s">
        <v>2531</v>
      </c>
      <c r="M354" s="25" t="s">
        <v>2532</v>
      </c>
      <c r="N354" s="26" t="s">
        <v>28</v>
      </c>
      <c r="O354" s="24" t="s">
        <v>2518</v>
      </c>
      <c r="P354" s="24" t="s">
        <v>2519</v>
      </c>
      <c r="Q354" s="27"/>
      <c r="R354" s="27"/>
      <c r="S354" s="28" t="s">
        <v>2533</v>
      </c>
      <c r="T354" s="8" t="s">
        <v>2534</v>
      </c>
      <c r="U354" s="29" t="s">
        <v>2522</v>
      </c>
      <c r="V354" s="24" t="str">
        <f>iferror(VLOOKUP(A354,'tagging table'!A:G,7,0),"")</f>
        <v>RMS</v>
      </c>
    </row>
    <row r="355">
      <c r="A355" s="30">
        <v>7.290112969538E12</v>
      </c>
      <c r="B355" s="20" t="s">
        <v>2535</v>
      </c>
      <c r="C355" s="21">
        <v>0.08</v>
      </c>
      <c r="D355" s="21">
        <v>0.09999999</v>
      </c>
      <c r="E355" s="21">
        <v>0.07</v>
      </c>
      <c r="F355" s="22">
        <v>4.0</v>
      </c>
      <c r="G355" s="23"/>
      <c r="H355" s="24" t="s">
        <v>2512</v>
      </c>
      <c r="I355" s="21" t="s">
        <v>2513</v>
      </c>
      <c r="J355" s="20" t="s">
        <v>2514</v>
      </c>
      <c r="K355" s="24" t="s">
        <v>2536</v>
      </c>
      <c r="L355" s="20" t="s">
        <v>2537</v>
      </c>
      <c r="M355" s="25" t="s">
        <v>2538</v>
      </c>
      <c r="N355" s="26" t="s">
        <v>28</v>
      </c>
      <c r="O355" s="24" t="s">
        <v>2518</v>
      </c>
      <c r="P355" s="24" t="s">
        <v>2519</v>
      </c>
      <c r="Q355" s="27"/>
      <c r="R355" s="27"/>
      <c r="S355" s="28" t="s">
        <v>2539</v>
      </c>
      <c r="T355" s="8" t="s">
        <v>2540</v>
      </c>
      <c r="U355" s="29" t="s">
        <v>2522</v>
      </c>
      <c r="V355" s="24" t="str">
        <f>iferror(VLOOKUP(A355,'tagging table'!A:G,7,0),"")</f>
        <v>RMS</v>
      </c>
    </row>
    <row r="356">
      <c r="A356" s="30">
        <v>7.29010068065E12</v>
      </c>
      <c r="B356" s="20" t="s">
        <v>2541</v>
      </c>
      <c r="C356" s="21">
        <v>0.08</v>
      </c>
      <c r="D356" s="21">
        <v>0.09999999</v>
      </c>
      <c r="E356" s="21">
        <v>0.02</v>
      </c>
      <c r="F356" s="22">
        <v>15.0</v>
      </c>
      <c r="G356" s="23"/>
      <c r="H356" s="24" t="s">
        <v>2512</v>
      </c>
      <c r="I356" s="21" t="s">
        <v>2513</v>
      </c>
      <c r="J356" s="20" t="s">
        <v>2514</v>
      </c>
      <c r="K356" s="24" t="s">
        <v>2542</v>
      </c>
      <c r="L356" s="20" t="s">
        <v>2543</v>
      </c>
      <c r="M356" s="25" t="s">
        <v>2544</v>
      </c>
      <c r="N356" s="26" t="s">
        <v>28</v>
      </c>
      <c r="O356" s="24" t="s">
        <v>2518</v>
      </c>
      <c r="P356" s="24" t="s">
        <v>2519</v>
      </c>
      <c r="Q356" s="27"/>
      <c r="R356" s="27"/>
      <c r="S356" s="28" t="s">
        <v>2545</v>
      </c>
      <c r="T356" s="8" t="s">
        <v>2546</v>
      </c>
      <c r="U356" s="29" t="s">
        <v>2522</v>
      </c>
      <c r="V356" s="24" t="str">
        <f>iferror(VLOOKUP(A356,'tagging table'!A:G,7,0),"")</f>
        <v>RMS</v>
      </c>
    </row>
    <row r="357">
      <c r="A357" s="30">
        <v>7.290112969965E12</v>
      </c>
      <c r="B357" s="20" t="s">
        <v>2547</v>
      </c>
      <c r="C357" s="21">
        <v>0.08</v>
      </c>
      <c r="D357" s="21">
        <v>0.09999999</v>
      </c>
      <c r="E357" s="21">
        <v>0.07</v>
      </c>
      <c r="F357" s="22">
        <v>4.0</v>
      </c>
      <c r="G357" s="23"/>
      <c r="H357" s="24" t="s">
        <v>2512</v>
      </c>
      <c r="I357" s="21" t="s">
        <v>2513</v>
      </c>
      <c r="J357" s="20" t="s">
        <v>2514</v>
      </c>
      <c r="K357" s="24" t="s">
        <v>2548</v>
      </c>
      <c r="L357" s="20" t="s">
        <v>2549</v>
      </c>
      <c r="M357" s="25" t="s">
        <v>2550</v>
      </c>
      <c r="N357" s="26" t="s">
        <v>28</v>
      </c>
      <c r="O357" s="24" t="s">
        <v>2518</v>
      </c>
      <c r="P357" s="24" t="s">
        <v>2519</v>
      </c>
      <c r="Q357" s="27"/>
      <c r="R357" s="27"/>
      <c r="S357" s="28" t="s">
        <v>2551</v>
      </c>
      <c r="T357" s="8" t="s">
        <v>2552</v>
      </c>
      <c r="U357" s="29" t="s">
        <v>2522</v>
      </c>
      <c r="V357" s="24" t="str">
        <f>iferror(VLOOKUP(A357,'tagging table'!A:G,7,0),"")</f>
        <v>RMS</v>
      </c>
    </row>
    <row r="358">
      <c r="A358" s="30">
        <v>5.000159407236E12</v>
      </c>
      <c r="B358" s="20" t="s">
        <v>2553</v>
      </c>
      <c r="C358" s="21">
        <v>0.11</v>
      </c>
      <c r="D358" s="21">
        <v>0.032</v>
      </c>
      <c r="E358" s="21">
        <v>0.02</v>
      </c>
      <c r="F358" s="22">
        <v>15.0</v>
      </c>
      <c r="G358" s="23"/>
      <c r="H358" s="24" t="s">
        <v>2554</v>
      </c>
      <c r="I358" s="21" t="s">
        <v>2555</v>
      </c>
      <c r="J358" s="24"/>
      <c r="K358" s="24" t="s">
        <v>2556</v>
      </c>
      <c r="L358" s="20" t="s">
        <v>2557</v>
      </c>
      <c r="M358" s="25" t="s">
        <v>2558</v>
      </c>
      <c r="N358" s="26" t="s">
        <v>28</v>
      </c>
      <c r="O358" s="24" t="s">
        <v>501</v>
      </c>
      <c r="P358" s="24" t="s">
        <v>502</v>
      </c>
      <c r="Q358" s="27"/>
      <c r="R358" s="27"/>
      <c r="S358" s="31" t="s">
        <v>2559</v>
      </c>
      <c r="T358" s="33" t="s">
        <v>2560</v>
      </c>
      <c r="U358" s="29" t="s">
        <v>2555</v>
      </c>
      <c r="V358" s="24" t="str">
        <f>iferror(VLOOKUP(A358,'tagging table'!A:G,7,0),"")</f>
        <v>Cashiers</v>
      </c>
    </row>
    <row r="359">
      <c r="A359" s="30">
        <v>4.710068002798E12</v>
      </c>
      <c r="B359" s="20" t="s">
        <v>2561</v>
      </c>
      <c r="C359" s="21">
        <v>0.065</v>
      </c>
      <c r="D359" s="21">
        <v>0.095</v>
      </c>
      <c r="E359" s="21">
        <v>0.065</v>
      </c>
      <c r="F359" s="22">
        <v>5.0</v>
      </c>
      <c r="G359" s="23"/>
      <c r="H359" s="24" t="s">
        <v>2562</v>
      </c>
      <c r="I359" s="21" t="s">
        <v>2563</v>
      </c>
      <c r="J359" s="20" t="s">
        <v>2563</v>
      </c>
      <c r="K359" s="24" t="s">
        <v>2564</v>
      </c>
      <c r="L359" s="20" t="s">
        <v>2565</v>
      </c>
      <c r="M359" s="25" t="s">
        <v>2566</v>
      </c>
      <c r="N359" s="26" t="s">
        <v>28</v>
      </c>
      <c r="O359" s="24" t="s">
        <v>340</v>
      </c>
      <c r="P359" s="24" t="s">
        <v>341</v>
      </c>
      <c r="Q359" s="27"/>
      <c r="R359" s="27"/>
      <c r="S359" s="31" t="s">
        <v>2567</v>
      </c>
      <c r="T359" s="33" t="s">
        <v>2568</v>
      </c>
      <c r="U359" s="29" t="s">
        <v>2569</v>
      </c>
      <c r="V359" s="24" t="str">
        <f>iferror(VLOOKUP(A359,'tagging table'!A:G,7,0),"")</f>
        <v>Drinks</v>
      </c>
    </row>
    <row r="360">
      <c r="A360" s="30">
        <v>4.710068001739E12</v>
      </c>
      <c r="B360" s="20" t="s">
        <v>2570</v>
      </c>
      <c r="C360" s="21">
        <v>0.065</v>
      </c>
      <c r="D360" s="21">
        <v>0.095</v>
      </c>
      <c r="E360" s="21">
        <v>0.065</v>
      </c>
      <c r="F360" s="22">
        <v>5.0</v>
      </c>
      <c r="G360" s="23"/>
      <c r="H360" s="24" t="s">
        <v>2562</v>
      </c>
      <c r="I360" s="21" t="s">
        <v>2563</v>
      </c>
      <c r="J360" s="20" t="s">
        <v>2563</v>
      </c>
      <c r="K360" s="24" t="s">
        <v>2571</v>
      </c>
      <c r="L360" s="20" t="s">
        <v>2572</v>
      </c>
      <c r="M360" s="25" t="s">
        <v>2573</v>
      </c>
      <c r="N360" s="26" t="s">
        <v>28</v>
      </c>
      <c r="O360" s="24" t="s">
        <v>340</v>
      </c>
      <c r="P360" s="24" t="s">
        <v>341</v>
      </c>
      <c r="Q360" s="27"/>
      <c r="R360" s="27"/>
      <c r="S360" s="31" t="s">
        <v>2574</v>
      </c>
      <c r="T360" s="33" t="s">
        <v>2575</v>
      </c>
      <c r="U360" s="29" t="s">
        <v>2569</v>
      </c>
      <c r="V360" s="24" t="str">
        <f>iferror(VLOOKUP(A360,'tagging table'!A:G,7,0),"")</f>
        <v>Drinks</v>
      </c>
    </row>
    <row r="361">
      <c r="A361" s="30">
        <v>4.710068001692E12</v>
      </c>
      <c r="B361" s="20" t="s">
        <v>2576</v>
      </c>
      <c r="C361" s="21">
        <v>0.065</v>
      </c>
      <c r="D361" s="21">
        <v>0.095</v>
      </c>
      <c r="E361" s="21">
        <v>0.065</v>
      </c>
      <c r="F361" s="22">
        <v>5.0</v>
      </c>
      <c r="G361" s="23"/>
      <c r="H361" s="24" t="s">
        <v>2562</v>
      </c>
      <c r="I361" s="21" t="s">
        <v>2563</v>
      </c>
      <c r="J361" s="20" t="s">
        <v>2563</v>
      </c>
      <c r="K361" s="24" t="s">
        <v>2577</v>
      </c>
      <c r="L361" s="20" t="s">
        <v>2578</v>
      </c>
      <c r="M361" s="25" t="s">
        <v>2579</v>
      </c>
      <c r="N361" s="26" t="s">
        <v>28</v>
      </c>
      <c r="O361" s="24" t="s">
        <v>340</v>
      </c>
      <c r="P361" s="24" t="s">
        <v>341</v>
      </c>
      <c r="Q361" s="27"/>
      <c r="R361" s="27"/>
      <c r="S361" s="31" t="s">
        <v>2580</v>
      </c>
      <c r="T361" s="33" t="s">
        <v>2581</v>
      </c>
      <c r="U361" s="29" t="s">
        <v>2569</v>
      </c>
      <c r="V361" s="24" t="str">
        <f>iferror(VLOOKUP(A361,'tagging table'!A:G,7,0),"")</f>
        <v>Drinks</v>
      </c>
    </row>
    <row r="362">
      <c r="A362" s="30">
        <v>4.710068001715E12</v>
      </c>
      <c r="B362" s="20" t="s">
        <v>2582</v>
      </c>
      <c r="C362" s="21">
        <v>0.065</v>
      </c>
      <c r="D362" s="21">
        <v>0.095</v>
      </c>
      <c r="E362" s="21">
        <v>0.065</v>
      </c>
      <c r="F362" s="22">
        <v>5.0</v>
      </c>
      <c r="G362" s="23"/>
      <c r="H362" s="24" t="s">
        <v>2562</v>
      </c>
      <c r="I362" s="21" t="s">
        <v>2563</v>
      </c>
      <c r="J362" s="20" t="s">
        <v>2563</v>
      </c>
      <c r="K362" s="24" t="s">
        <v>2583</v>
      </c>
      <c r="L362" s="20" t="s">
        <v>2584</v>
      </c>
      <c r="M362" s="25" t="s">
        <v>2585</v>
      </c>
      <c r="N362" s="26" t="s">
        <v>28</v>
      </c>
      <c r="O362" s="24" t="s">
        <v>340</v>
      </c>
      <c r="P362" s="24" t="s">
        <v>341</v>
      </c>
      <c r="Q362" s="27"/>
      <c r="R362" s="27"/>
      <c r="S362" s="31" t="s">
        <v>2586</v>
      </c>
      <c r="T362" s="8" t="s">
        <v>2587</v>
      </c>
      <c r="U362" s="29" t="s">
        <v>2569</v>
      </c>
      <c r="V362" s="24" t="str">
        <f>iferror(VLOOKUP(A362,'tagging table'!A:G,7,0),"")</f>
        <v>Drinks</v>
      </c>
    </row>
    <row r="363">
      <c r="A363" s="30">
        <v>2.0</v>
      </c>
      <c r="B363" s="20" t="s">
        <v>2588</v>
      </c>
      <c r="C363" s="21">
        <v>1.2</v>
      </c>
      <c r="D363" s="21">
        <v>0.18</v>
      </c>
      <c r="E363" s="21">
        <v>0.4</v>
      </c>
      <c r="F363" s="22">
        <v>15.0</v>
      </c>
      <c r="G363" s="23"/>
      <c r="H363" s="24" t="s">
        <v>2589</v>
      </c>
      <c r="I363" s="21" t="s">
        <v>2590</v>
      </c>
      <c r="J363" s="20" t="s">
        <v>2514</v>
      </c>
      <c r="K363" s="24" t="s">
        <v>2591</v>
      </c>
      <c r="L363" s="20" t="s">
        <v>2592</v>
      </c>
      <c r="M363" s="25" t="s">
        <v>2593</v>
      </c>
      <c r="N363" s="26" t="s">
        <v>37</v>
      </c>
      <c r="O363" s="23"/>
      <c r="P363" s="23"/>
      <c r="Q363" s="23"/>
      <c r="R363" s="41"/>
      <c r="S363" s="31" t="s">
        <v>2594</v>
      </c>
      <c r="T363" s="33" t="s">
        <v>2595</v>
      </c>
      <c r="U363" s="29" t="e">
        <v>#N/A</v>
      </c>
      <c r="V363" s="21" t="s">
        <v>2596</v>
      </c>
    </row>
    <row r="364">
      <c r="A364" s="30">
        <v>7.2917589E7</v>
      </c>
      <c r="B364" s="20" t="s">
        <v>2597</v>
      </c>
      <c r="C364" s="21">
        <v>0.14</v>
      </c>
      <c r="D364" s="21">
        <v>0.037</v>
      </c>
      <c r="E364" s="21">
        <v>0.02</v>
      </c>
      <c r="F364" s="22">
        <v>15.0</v>
      </c>
      <c r="G364" s="23"/>
      <c r="H364" s="24" t="s">
        <v>2598</v>
      </c>
      <c r="I364" s="21" t="s">
        <v>2599</v>
      </c>
      <c r="J364" s="24"/>
      <c r="K364" s="24" t="s">
        <v>2600</v>
      </c>
      <c r="L364" s="20" t="s">
        <v>2601</v>
      </c>
      <c r="M364" s="25" t="s">
        <v>2602</v>
      </c>
      <c r="N364" s="26" t="s">
        <v>28</v>
      </c>
      <c r="O364" s="24" t="s">
        <v>501</v>
      </c>
      <c r="P364" s="24" t="s">
        <v>502</v>
      </c>
      <c r="Q364" s="27"/>
      <c r="R364" s="27"/>
      <c r="S364" s="31" t="s">
        <v>2603</v>
      </c>
      <c r="T364" s="8" t="s">
        <v>2604</v>
      </c>
      <c r="U364" s="29" t="s">
        <v>2599</v>
      </c>
      <c r="V364" s="24" t="str">
        <f>iferror(VLOOKUP(A364,'tagging table'!A:G,7,0),"")</f>
        <v>Cashiers</v>
      </c>
    </row>
    <row r="365">
      <c r="A365" s="30">
        <v>7.290002752332E12</v>
      </c>
      <c r="B365" s="20" t="s">
        <v>2605</v>
      </c>
      <c r="C365" s="21">
        <v>0.138</v>
      </c>
      <c r="D365" s="21">
        <v>0.022</v>
      </c>
      <c r="E365" s="21">
        <v>0.02</v>
      </c>
      <c r="F365" s="22">
        <v>15.0</v>
      </c>
      <c r="G365" s="23"/>
      <c r="H365" s="24" t="s">
        <v>2606</v>
      </c>
      <c r="I365" s="21" t="s">
        <v>2607</v>
      </c>
      <c r="J365" s="24"/>
      <c r="K365" s="24" t="s">
        <v>2608</v>
      </c>
      <c r="L365" s="20" t="s">
        <v>2609</v>
      </c>
      <c r="M365" s="25" t="s">
        <v>2610</v>
      </c>
      <c r="N365" s="26" t="s">
        <v>37</v>
      </c>
      <c r="O365" s="24" t="s">
        <v>2611</v>
      </c>
      <c r="P365" s="24" t="s">
        <v>2612</v>
      </c>
      <c r="Q365" s="27"/>
      <c r="R365" s="27"/>
      <c r="S365" s="28" t="s">
        <v>2613</v>
      </c>
      <c r="T365" s="8" t="s">
        <v>2614</v>
      </c>
      <c r="U365" s="29" t="e">
        <v>#N/A</v>
      </c>
      <c r="V365" s="21" t="s">
        <v>284</v>
      </c>
    </row>
    <row r="366">
      <c r="A366" s="30">
        <v>7.290002752349E12</v>
      </c>
      <c r="B366" s="20" t="s">
        <v>2615</v>
      </c>
      <c r="C366" s="21">
        <v>0.138</v>
      </c>
      <c r="D366" s="21">
        <v>0.022</v>
      </c>
      <c r="E366" s="21">
        <v>0.02</v>
      </c>
      <c r="F366" s="22">
        <v>15.0</v>
      </c>
      <c r="G366" s="23"/>
      <c r="H366" s="24" t="s">
        <v>2606</v>
      </c>
      <c r="I366" s="21" t="s">
        <v>2607</v>
      </c>
      <c r="J366" s="24"/>
      <c r="K366" s="24" t="s">
        <v>2616</v>
      </c>
      <c r="L366" s="20" t="s">
        <v>2617</v>
      </c>
      <c r="M366" s="25" t="s">
        <v>2618</v>
      </c>
      <c r="N366" s="26" t="s">
        <v>37</v>
      </c>
      <c r="O366" s="24" t="s">
        <v>2611</v>
      </c>
      <c r="P366" s="24" t="s">
        <v>2612</v>
      </c>
      <c r="Q366" s="27"/>
      <c r="R366" s="27"/>
      <c r="S366" s="28" t="s">
        <v>2619</v>
      </c>
      <c r="T366" s="8" t="s">
        <v>2620</v>
      </c>
      <c r="U366" s="29" t="e">
        <v>#N/A</v>
      </c>
      <c r="V366" s="21" t="s">
        <v>284</v>
      </c>
    </row>
    <row r="367">
      <c r="A367" s="30">
        <v>8.7311396E7</v>
      </c>
      <c r="B367" s="20" t="s">
        <v>2621</v>
      </c>
      <c r="C367" s="21">
        <v>0.138</v>
      </c>
      <c r="D367" s="21">
        <v>0.022</v>
      </c>
      <c r="E367" s="21">
        <v>0.02</v>
      </c>
      <c r="F367" s="22">
        <v>15.0</v>
      </c>
      <c r="G367" s="23"/>
      <c r="H367" s="24" t="s">
        <v>2606</v>
      </c>
      <c r="I367" s="21" t="s">
        <v>2607</v>
      </c>
      <c r="J367" s="24"/>
      <c r="K367" s="24" t="s">
        <v>2622</v>
      </c>
      <c r="L367" s="20" t="s">
        <v>2623</v>
      </c>
      <c r="M367" s="25" t="s">
        <v>2624</v>
      </c>
      <c r="N367" s="26" t="s">
        <v>28</v>
      </c>
      <c r="O367" s="24" t="s">
        <v>2625</v>
      </c>
      <c r="P367" s="24" t="s">
        <v>2626</v>
      </c>
      <c r="Q367" s="27"/>
      <c r="R367" s="27"/>
      <c r="S367" s="28" t="s">
        <v>2627</v>
      </c>
      <c r="T367" s="8" t="s">
        <v>2628</v>
      </c>
      <c r="U367" s="29" t="s">
        <v>2607</v>
      </c>
      <c r="V367" s="24" t="str">
        <f>iferror(VLOOKUP(A367,'tagging table'!A:G,7,0),"")</f>
        <v>Cashiers</v>
      </c>
    </row>
    <row r="368">
      <c r="A368" s="30">
        <v>8.0831402E7</v>
      </c>
      <c r="B368" s="20" t="s">
        <v>2629</v>
      </c>
      <c r="C368" s="21">
        <v>0.09999999</v>
      </c>
      <c r="D368" s="21">
        <v>0.05</v>
      </c>
      <c r="E368" s="21">
        <v>0.01</v>
      </c>
      <c r="F368" s="22">
        <v>30.0</v>
      </c>
      <c r="G368" s="23"/>
      <c r="H368" s="24" t="s">
        <v>2606</v>
      </c>
      <c r="I368" s="21" t="s">
        <v>2607</v>
      </c>
      <c r="J368" s="24"/>
      <c r="K368" s="24" t="s">
        <v>2630</v>
      </c>
      <c r="L368" s="20" t="s">
        <v>2631</v>
      </c>
      <c r="M368" s="25" t="s">
        <v>2632</v>
      </c>
      <c r="N368" s="26" t="s">
        <v>28</v>
      </c>
      <c r="O368" s="24" t="s">
        <v>2611</v>
      </c>
      <c r="P368" s="24" t="s">
        <v>2612</v>
      </c>
      <c r="Q368" s="27"/>
      <c r="R368" s="27"/>
      <c r="S368" s="28" t="s">
        <v>2633</v>
      </c>
      <c r="T368" s="8" t="s">
        <v>2634</v>
      </c>
      <c r="U368" s="29" t="s">
        <v>2607</v>
      </c>
      <c r="V368" s="24" t="str">
        <f>iferror(VLOOKUP(A368,'tagging table'!A:G,7,0),"")</f>
        <v>Cashiers</v>
      </c>
    </row>
    <row r="369">
      <c r="A369" s="30">
        <v>8.0854753E7</v>
      </c>
      <c r="B369" s="20" t="s">
        <v>2635</v>
      </c>
      <c r="C369" s="21">
        <v>0.09999999</v>
      </c>
      <c r="D369" s="21">
        <v>0.05</v>
      </c>
      <c r="E369" s="21">
        <v>0.01</v>
      </c>
      <c r="F369" s="22">
        <v>30.0</v>
      </c>
      <c r="G369" s="23"/>
      <c r="H369" s="24" t="s">
        <v>2606</v>
      </c>
      <c r="I369" s="21" t="s">
        <v>2607</v>
      </c>
      <c r="J369" s="24"/>
      <c r="K369" s="24" t="s">
        <v>2636</v>
      </c>
      <c r="L369" s="20" t="s">
        <v>2637</v>
      </c>
      <c r="M369" s="25" t="s">
        <v>2638</v>
      </c>
      <c r="N369" s="26" t="s">
        <v>28</v>
      </c>
      <c r="O369" s="24" t="s">
        <v>2611</v>
      </c>
      <c r="P369" s="24" t="s">
        <v>2612</v>
      </c>
      <c r="Q369" s="27"/>
      <c r="R369" s="27"/>
      <c r="S369" s="28" t="s">
        <v>2639</v>
      </c>
      <c r="T369" s="33" t="s">
        <v>2640</v>
      </c>
      <c r="U369" s="29" t="s">
        <v>2607</v>
      </c>
      <c r="V369" s="24" t="str">
        <f>iferror(VLOOKUP(A369,'tagging table'!A:G,7,0),"")</f>
        <v>Cashiers</v>
      </c>
    </row>
    <row r="370">
      <c r="A370" s="30">
        <v>8.710502231018E12</v>
      </c>
      <c r="B370" s="20" t="s">
        <v>2641</v>
      </c>
      <c r="C370" s="21">
        <v>0.09</v>
      </c>
      <c r="D370" s="21">
        <v>0.16</v>
      </c>
      <c r="E370" s="21">
        <v>0.07</v>
      </c>
      <c r="F370" s="22">
        <v>4.0</v>
      </c>
      <c r="G370" s="23"/>
      <c r="H370" s="24" t="s">
        <v>2642</v>
      </c>
      <c r="I370" s="21" t="s">
        <v>2643</v>
      </c>
      <c r="J370" s="21" t="s">
        <v>1190</v>
      </c>
      <c r="K370" s="24" t="s">
        <v>2644</v>
      </c>
      <c r="L370" s="20" t="s">
        <v>2645</v>
      </c>
      <c r="M370" s="25" t="s">
        <v>2646</v>
      </c>
      <c r="N370" s="26" t="s">
        <v>37</v>
      </c>
      <c r="O370" s="24" t="s">
        <v>2364</v>
      </c>
      <c r="P370" s="24" t="s">
        <v>2647</v>
      </c>
      <c r="Q370" s="27"/>
      <c r="R370" s="27"/>
      <c r="S370" s="28" t="s">
        <v>2648</v>
      </c>
      <c r="T370" s="8" t="s">
        <v>2649</v>
      </c>
      <c r="U370" s="29" t="e">
        <v>#N/A</v>
      </c>
      <c r="V370" s="21" t="s">
        <v>211</v>
      </c>
    </row>
    <row r="371">
      <c r="A371" s="30">
        <v>4.6214731552E10</v>
      </c>
      <c r="B371" s="20" t="s">
        <v>2650</v>
      </c>
      <c r="C371" s="21">
        <v>0.28</v>
      </c>
      <c r="D371" s="21">
        <v>0.08</v>
      </c>
      <c r="E371" s="21">
        <v>0.05</v>
      </c>
      <c r="F371" s="22">
        <v>6.0</v>
      </c>
      <c r="G371" s="23"/>
      <c r="H371" s="24" t="s">
        <v>2642</v>
      </c>
      <c r="I371" s="21" t="s">
        <v>2643</v>
      </c>
      <c r="J371" s="21" t="s">
        <v>1190</v>
      </c>
      <c r="K371" s="24" t="s">
        <v>2651</v>
      </c>
      <c r="L371" s="20" t="s">
        <v>2652</v>
      </c>
      <c r="M371" s="25" t="s">
        <v>2653</v>
      </c>
      <c r="N371" s="26" t="s">
        <v>28</v>
      </c>
      <c r="O371" s="24" t="s">
        <v>2364</v>
      </c>
      <c r="P371" s="24" t="s">
        <v>2647</v>
      </c>
      <c r="Q371" s="27"/>
      <c r="R371" s="27"/>
      <c r="S371" s="28" t="s">
        <v>2654</v>
      </c>
      <c r="T371" s="8" t="s">
        <v>2655</v>
      </c>
      <c r="U371" s="29" t="s">
        <v>2656</v>
      </c>
      <c r="V371" s="24" t="str">
        <f>iferror(VLOOKUP(A371,'tagging table'!A:G,7,0),"")</f>
        <v>Waffles &amp; cookies</v>
      </c>
    </row>
    <row r="372">
      <c r="A372" s="30">
        <v>7.290000688084E12</v>
      </c>
      <c r="B372" s="20" t="s">
        <v>2657</v>
      </c>
      <c r="C372" s="21">
        <v>0.06</v>
      </c>
      <c r="D372" s="21">
        <v>0.23</v>
      </c>
      <c r="E372" s="21">
        <v>0.06</v>
      </c>
      <c r="F372" s="22">
        <v>5.0</v>
      </c>
      <c r="G372" s="23"/>
      <c r="H372" s="24" t="s">
        <v>2658</v>
      </c>
      <c r="I372" s="21" t="s">
        <v>2659</v>
      </c>
      <c r="J372" s="20" t="s">
        <v>133</v>
      </c>
      <c r="K372" s="24" t="s">
        <v>2660</v>
      </c>
      <c r="L372" s="20" t="s">
        <v>2661</v>
      </c>
      <c r="M372" s="25" t="s">
        <v>2662</v>
      </c>
      <c r="N372" s="26" t="s">
        <v>37</v>
      </c>
      <c r="O372" s="24" t="s">
        <v>137</v>
      </c>
      <c r="P372" s="24" t="s">
        <v>2663</v>
      </c>
      <c r="Q372" s="27"/>
      <c r="R372" s="27"/>
      <c r="S372" s="31" t="s">
        <v>2664</v>
      </c>
      <c r="T372" s="8" t="s">
        <v>2665</v>
      </c>
      <c r="U372" s="29" t="e">
        <v>#N/A</v>
      </c>
      <c r="V372" s="21" t="s">
        <v>573</v>
      </c>
    </row>
    <row r="373">
      <c r="A373" s="30">
        <v>7.290000688114E12</v>
      </c>
      <c r="B373" s="20" t="s">
        <v>2666</v>
      </c>
      <c r="C373" s="21">
        <v>0.09</v>
      </c>
      <c r="D373" s="21">
        <v>0.34</v>
      </c>
      <c r="E373" s="21">
        <v>0.09</v>
      </c>
      <c r="F373" s="22">
        <v>3.0</v>
      </c>
      <c r="G373" s="23"/>
      <c r="H373" s="24" t="s">
        <v>2658</v>
      </c>
      <c r="I373" s="21" t="s">
        <v>2659</v>
      </c>
      <c r="J373" s="20" t="s">
        <v>133</v>
      </c>
      <c r="K373" s="24" t="s">
        <v>2667</v>
      </c>
      <c r="L373" s="20" t="s">
        <v>2668</v>
      </c>
      <c r="M373" s="25" t="s">
        <v>2669</v>
      </c>
      <c r="N373" s="26" t="s">
        <v>37</v>
      </c>
      <c r="O373" s="24" t="s">
        <v>137</v>
      </c>
      <c r="P373" s="24" t="s">
        <v>138</v>
      </c>
      <c r="Q373" s="27"/>
      <c r="R373" s="27"/>
      <c r="S373" s="28" t="s">
        <v>2670</v>
      </c>
      <c r="T373" s="8" t="s">
        <v>2671</v>
      </c>
      <c r="U373" s="29" t="e">
        <v>#N/A</v>
      </c>
      <c r="V373" s="21" t="s">
        <v>573</v>
      </c>
    </row>
    <row r="374">
      <c r="A374" s="30">
        <v>7.290017888972E12</v>
      </c>
      <c r="B374" s="20" t="s">
        <v>2672</v>
      </c>
      <c r="C374" s="21">
        <v>0.087</v>
      </c>
      <c r="D374" s="21">
        <v>0.255</v>
      </c>
      <c r="E374" s="21">
        <v>0.087</v>
      </c>
      <c r="F374" s="22">
        <v>3.0</v>
      </c>
      <c r="G374" s="23"/>
      <c r="H374" s="24" t="s">
        <v>2658</v>
      </c>
      <c r="I374" s="21" t="s">
        <v>2659</v>
      </c>
      <c r="J374" s="20" t="s">
        <v>133</v>
      </c>
      <c r="K374" s="24" t="s">
        <v>2673</v>
      </c>
      <c r="L374" s="20" t="s">
        <v>2674</v>
      </c>
      <c r="M374" s="25" t="s">
        <v>2675</v>
      </c>
      <c r="N374" s="26" t="s">
        <v>28</v>
      </c>
      <c r="O374" s="24" t="s">
        <v>137</v>
      </c>
      <c r="P374" s="24" t="s">
        <v>138</v>
      </c>
      <c r="Q374" s="27"/>
      <c r="R374" s="27"/>
      <c r="S374" s="28" t="s">
        <v>2676</v>
      </c>
      <c r="T374" s="8" t="s">
        <v>2677</v>
      </c>
      <c r="U374" s="29" t="s">
        <v>2678</v>
      </c>
      <c r="V374" s="24" t="str">
        <f>iferror(VLOOKUP(A374,'tagging table'!A:G,7,0),"")</f>
        <v>Drinks</v>
      </c>
    </row>
    <row r="375">
      <c r="A375" s="30">
        <v>7.0970471254E10</v>
      </c>
      <c r="B375" s="20" t="s">
        <v>2679</v>
      </c>
      <c r="C375" s="21">
        <v>0.155</v>
      </c>
      <c r="D375" s="21">
        <v>0.085</v>
      </c>
      <c r="E375" s="21">
        <v>0.02</v>
      </c>
      <c r="F375" s="22">
        <v>15.0</v>
      </c>
      <c r="G375" s="23"/>
      <c r="H375" s="24" t="s">
        <v>2680</v>
      </c>
      <c r="I375" s="21" t="s">
        <v>2681</v>
      </c>
      <c r="J375" s="24"/>
      <c r="K375" s="24" t="s">
        <v>2682</v>
      </c>
      <c r="L375" s="20" t="s">
        <v>2683</v>
      </c>
      <c r="M375" s="25" t="s">
        <v>2684</v>
      </c>
      <c r="N375" s="26" t="s">
        <v>28</v>
      </c>
      <c r="O375" s="24" t="s">
        <v>2685</v>
      </c>
      <c r="P375" s="24" t="s">
        <v>2686</v>
      </c>
      <c r="Q375" s="27"/>
      <c r="R375" s="27"/>
      <c r="S375" s="28" t="s">
        <v>2687</v>
      </c>
      <c r="T375" s="8" t="s">
        <v>2688</v>
      </c>
      <c r="U375" s="29" t="s">
        <v>2689</v>
      </c>
      <c r="V375" s="24" t="str">
        <f>iferror(VLOOKUP(A375,'tagging table'!A:G,7,0),"")</f>
        <v>Sweets</v>
      </c>
    </row>
    <row r="376">
      <c r="A376" s="30">
        <v>7.0970473562E10</v>
      </c>
      <c r="B376" s="20" t="s">
        <v>2690</v>
      </c>
      <c r="C376" s="21">
        <v>0.155</v>
      </c>
      <c r="D376" s="21">
        <v>0.085</v>
      </c>
      <c r="E376" s="21">
        <v>0.02</v>
      </c>
      <c r="F376" s="22">
        <v>15.0</v>
      </c>
      <c r="G376" s="23"/>
      <c r="H376" s="24" t="s">
        <v>2680</v>
      </c>
      <c r="I376" s="21" t="s">
        <v>2681</v>
      </c>
      <c r="J376" s="24"/>
      <c r="K376" s="24" t="s">
        <v>2691</v>
      </c>
      <c r="L376" s="20" t="s">
        <v>2692</v>
      </c>
      <c r="M376" s="25" t="s">
        <v>2693</v>
      </c>
      <c r="N376" s="26" t="s">
        <v>28</v>
      </c>
      <c r="O376" s="24" t="s">
        <v>2685</v>
      </c>
      <c r="P376" s="24" t="s">
        <v>2686</v>
      </c>
      <c r="Q376" s="27"/>
      <c r="R376" s="27"/>
      <c r="S376" s="28" t="s">
        <v>2694</v>
      </c>
      <c r="T376" s="8" t="s">
        <v>2695</v>
      </c>
      <c r="U376" s="29" t="s">
        <v>2689</v>
      </c>
      <c r="V376" s="24" t="str">
        <f>iferror(VLOOKUP(A376,'tagging table'!A:G,7,0),"")</f>
        <v>Sweets</v>
      </c>
    </row>
    <row r="377">
      <c r="A377" s="30">
        <v>7.622201809188E12</v>
      </c>
      <c r="B377" s="20" t="s">
        <v>2696</v>
      </c>
      <c r="C377" s="21">
        <v>0.26</v>
      </c>
      <c r="D377" s="21">
        <v>0.09</v>
      </c>
      <c r="E377" s="21">
        <v>0.06</v>
      </c>
      <c r="F377" s="22">
        <v>5.0</v>
      </c>
      <c r="G377" s="23"/>
      <c r="H377" s="24" t="s">
        <v>2697</v>
      </c>
      <c r="I377" s="21" t="s">
        <v>2698</v>
      </c>
      <c r="J377" s="35" t="s">
        <v>1190</v>
      </c>
      <c r="K377" s="36" t="s">
        <v>2699</v>
      </c>
      <c r="L377" s="20" t="s">
        <v>2700</v>
      </c>
      <c r="M377" s="25" t="s">
        <v>2701</v>
      </c>
      <c r="N377" s="26" t="s">
        <v>28</v>
      </c>
      <c r="O377" s="24" t="s">
        <v>2364</v>
      </c>
      <c r="P377" s="24" t="s">
        <v>2365</v>
      </c>
      <c r="Q377" s="27"/>
      <c r="R377" s="27"/>
      <c r="S377" s="28" t="s">
        <v>2702</v>
      </c>
      <c r="T377" s="8" t="s">
        <v>2703</v>
      </c>
      <c r="U377" s="29" t="s">
        <v>2698</v>
      </c>
      <c r="V377" s="24" t="str">
        <f>iferror(VLOOKUP(A377,'tagging table'!A:G,7,0),"")</f>
        <v>Waffles &amp; cookies</v>
      </c>
    </row>
    <row r="378">
      <c r="A378" s="30">
        <v>7.622300356767E12</v>
      </c>
      <c r="B378" s="20" t="s">
        <v>2704</v>
      </c>
      <c r="C378" s="21">
        <v>0.26</v>
      </c>
      <c r="D378" s="21">
        <v>0.09</v>
      </c>
      <c r="E378" s="21">
        <v>0.06</v>
      </c>
      <c r="F378" s="22">
        <v>5.0</v>
      </c>
      <c r="G378" s="23"/>
      <c r="H378" s="24" t="s">
        <v>2697</v>
      </c>
      <c r="I378" s="21" t="s">
        <v>2698</v>
      </c>
      <c r="J378" s="35" t="s">
        <v>1190</v>
      </c>
      <c r="K378" s="36" t="s">
        <v>2705</v>
      </c>
      <c r="L378" s="20" t="s">
        <v>2706</v>
      </c>
      <c r="M378" s="25" t="s">
        <v>2707</v>
      </c>
      <c r="N378" s="26" t="s">
        <v>28</v>
      </c>
      <c r="O378" s="24" t="s">
        <v>2364</v>
      </c>
      <c r="P378" s="24" t="s">
        <v>2647</v>
      </c>
      <c r="Q378" s="27"/>
      <c r="R378" s="27"/>
      <c r="S378" s="28" t="s">
        <v>2708</v>
      </c>
      <c r="T378" s="8" t="s">
        <v>2709</v>
      </c>
      <c r="U378" s="29" t="s">
        <v>2698</v>
      </c>
      <c r="V378" s="24" t="str">
        <f>iferror(VLOOKUP(A378,'tagging table'!A:G,7,0),"")</f>
        <v>Waffles &amp; cookies</v>
      </c>
    </row>
    <row r="379">
      <c r="A379" s="30">
        <v>4.025700001023E12</v>
      </c>
      <c r="B379" s="20" t="s">
        <v>2710</v>
      </c>
      <c r="C379" s="21">
        <v>0.15</v>
      </c>
      <c r="D379" s="21">
        <v>0.079</v>
      </c>
      <c r="E379" s="21">
        <v>0.02</v>
      </c>
      <c r="F379" s="22">
        <v>15.0</v>
      </c>
      <c r="G379" s="23"/>
      <c r="H379" s="24" t="s">
        <v>2697</v>
      </c>
      <c r="I379" s="21" t="s">
        <v>2698</v>
      </c>
      <c r="J379" s="35" t="s">
        <v>1190</v>
      </c>
      <c r="K379" s="36" t="s">
        <v>2711</v>
      </c>
      <c r="L379" s="20" t="s">
        <v>2712</v>
      </c>
      <c r="M379" s="25" t="s">
        <v>2713</v>
      </c>
      <c r="N379" s="26" t="s">
        <v>28</v>
      </c>
      <c r="O379" s="24" t="s">
        <v>626</v>
      </c>
      <c r="P379" s="24" t="s">
        <v>649</v>
      </c>
      <c r="Q379" s="27"/>
      <c r="R379" s="27"/>
      <c r="S379" s="28" t="s">
        <v>2714</v>
      </c>
      <c r="T379" s="8" t="s">
        <v>2715</v>
      </c>
      <c r="U379" s="29" t="s">
        <v>2698</v>
      </c>
      <c r="V379" s="24" t="str">
        <f>iferror(VLOOKUP(A379,'tagging table'!A:G,7,0),"")</f>
        <v>Sweets</v>
      </c>
    </row>
    <row r="380">
      <c r="A380" s="30">
        <v>7.622201137052E12</v>
      </c>
      <c r="B380" s="20" t="s">
        <v>2716</v>
      </c>
      <c r="C380" s="21">
        <v>0.14</v>
      </c>
      <c r="D380" s="21">
        <v>0.17</v>
      </c>
      <c r="E380" s="21">
        <v>0.035</v>
      </c>
      <c r="F380" s="22">
        <v>9.0</v>
      </c>
      <c r="G380" s="23"/>
      <c r="H380" s="24" t="s">
        <v>2697</v>
      </c>
      <c r="I380" s="21" t="s">
        <v>2698</v>
      </c>
      <c r="J380" s="21" t="s">
        <v>1190</v>
      </c>
      <c r="K380" s="24" t="s">
        <v>2717</v>
      </c>
      <c r="L380" s="20" t="s">
        <v>2718</v>
      </c>
      <c r="M380" s="25" t="s">
        <v>2719</v>
      </c>
      <c r="N380" s="26" t="s">
        <v>37</v>
      </c>
      <c r="O380" s="24" t="s">
        <v>2364</v>
      </c>
      <c r="P380" s="24" t="s">
        <v>2647</v>
      </c>
      <c r="Q380" s="27"/>
      <c r="R380" s="27"/>
      <c r="S380" s="28" t="s">
        <v>2720</v>
      </c>
      <c r="T380" s="8" t="s">
        <v>2721</v>
      </c>
      <c r="U380" s="29" t="e">
        <v>#N/A</v>
      </c>
      <c r="V380" s="21" t="s">
        <v>211</v>
      </c>
    </row>
    <row r="381">
      <c r="A381" s="30">
        <v>7.622210826053E12</v>
      </c>
      <c r="B381" s="20" t="s">
        <v>2722</v>
      </c>
      <c r="C381" s="21">
        <v>0.157</v>
      </c>
      <c r="D381" s="21">
        <v>0.077</v>
      </c>
      <c r="E381" s="21">
        <v>0.014</v>
      </c>
      <c r="F381" s="22">
        <v>21.0</v>
      </c>
      <c r="G381" s="23"/>
      <c r="H381" s="24" t="s">
        <v>2697</v>
      </c>
      <c r="I381" s="21" t="s">
        <v>2698</v>
      </c>
      <c r="J381" s="35" t="s">
        <v>1190</v>
      </c>
      <c r="K381" s="36" t="s">
        <v>2723</v>
      </c>
      <c r="L381" s="20" t="s">
        <v>2724</v>
      </c>
      <c r="M381" s="25" t="s">
        <v>2725</v>
      </c>
      <c r="N381" s="26" t="s">
        <v>28</v>
      </c>
      <c r="O381" s="24" t="s">
        <v>626</v>
      </c>
      <c r="P381" s="24" t="s">
        <v>2726</v>
      </c>
      <c r="Q381" s="27"/>
      <c r="R381" s="27"/>
      <c r="S381" s="28" t="s">
        <v>2727</v>
      </c>
      <c r="T381" s="8" t="s">
        <v>2728</v>
      </c>
      <c r="U381" s="29" t="s">
        <v>2698</v>
      </c>
      <c r="V381" s="24" t="str">
        <f>VLOOKUP(A381,'tagging table'!A:G,7,0)</f>
        <v>Sweets</v>
      </c>
    </row>
    <row r="382">
      <c r="A382" s="30">
        <v>7.62230061782E12</v>
      </c>
      <c r="B382" s="20" t="s">
        <v>2729</v>
      </c>
      <c r="C382" s="21">
        <v>0.15</v>
      </c>
      <c r="D382" s="21">
        <v>0.079</v>
      </c>
      <c r="E382" s="21">
        <v>0.02</v>
      </c>
      <c r="F382" s="22">
        <v>15.0</v>
      </c>
      <c r="G382" s="23"/>
      <c r="H382" s="24" t="s">
        <v>2697</v>
      </c>
      <c r="I382" s="21" t="s">
        <v>2698</v>
      </c>
      <c r="J382" s="21" t="s">
        <v>1190</v>
      </c>
      <c r="K382" s="24" t="s">
        <v>2730</v>
      </c>
      <c r="L382" s="20" t="s">
        <v>2731</v>
      </c>
      <c r="M382" s="25" t="s">
        <v>2732</v>
      </c>
      <c r="N382" s="26" t="s">
        <v>28</v>
      </c>
      <c r="O382" s="24" t="s">
        <v>626</v>
      </c>
      <c r="P382" s="24" t="s">
        <v>649</v>
      </c>
      <c r="Q382" s="27"/>
      <c r="R382" s="27"/>
      <c r="S382" s="28" t="s">
        <v>2733</v>
      </c>
      <c r="T382" s="8" t="s">
        <v>2734</v>
      </c>
      <c r="U382" s="29" t="s">
        <v>2698</v>
      </c>
      <c r="V382" s="24" t="str">
        <f>VLOOKUP(A382,'tagging table'!A:G,7,0)</f>
        <v>Sweets</v>
      </c>
    </row>
    <row r="383">
      <c r="A383" s="30">
        <v>7.6222014019E12</v>
      </c>
      <c r="B383" s="20" t="s">
        <v>2735</v>
      </c>
      <c r="C383" s="21">
        <v>0.18</v>
      </c>
      <c r="D383" s="21">
        <v>0.09999999</v>
      </c>
      <c r="E383" s="21">
        <v>0.04</v>
      </c>
      <c r="F383" s="22">
        <v>8.0</v>
      </c>
      <c r="G383" s="23"/>
      <c r="H383" s="24" t="s">
        <v>2697</v>
      </c>
      <c r="I383" s="21" t="s">
        <v>2698</v>
      </c>
      <c r="J383" s="35" t="s">
        <v>1190</v>
      </c>
      <c r="K383" s="36" t="s">
        <v>2736</v>
      </c>
      <c r="L383" s="20" t="s">
        <v>2737</v>
      </c>
      <c r="M383" s="25" t="s">
        <v>2738</v>
      </c>
      <c r="N383" s="26" t="s">
        <v>28</v>
      </c>
      <c r="O383" s="24" t="s">
        <v>2364</v>
      </c>
      <c r="P383" s="24" t="s">
        <v>2739</v>
      </c>
      <c r="Q383" s="27"/>
      <c r="R383" s="27"/>
      <c r="S383" s="28" t="s">
        <v>2740</v>
      </c>
      <c r="T383" s="8" t="s">
        <v>2741</v>
      </c>
      <c r="U383" s="29" t="s">
        <v>2698</v>
      </c>
      <c r="V383" s="24" t="str">
        <f>VLOOKUP(A383,'tagging table'!A:G,7,0)</f>
        <v>Waffles &amp; cookies</v>
      </c>
    </row>
    <row r="384">
      <c r="A384" s="30">
        <v>7.2940761E7</v>
      </c>
      <c r="B384" s="20" t="s">
        <v>2742</v>
      </c>
      <c r="C384" s="21">
        <v>0.07</v>
      </c>
      <c r="D384" s="21">
        <v>0.08</v>
      </c>
      <c r="E384" s="21">
        <v>0.07</v>
      </c>
      <c r="F384" s="22">
        <v>4.0</v>
      </c>
      <c r="G384" s="23"/>
      <c r="H384" s="24" t="s">
        <v>2743</v>
      </c>
      <c r="I384" s="21" t="s">
        <v>2744</v>
      </c>
      <c r="J384" s="24"/>
      <c r="K384" s="24" t="s">
        <v>2745</v>
      </c>
      <c r="L384" s="20" t="s">
        <v>2746</v>
      </c>
      <c r="M384" s="25" t="s">
        <v>2747</v>
      </c>
      <c r="N384" s="26" t="s">
        <v>28</v>
      </c>
      <c r="O384" s="24" t="s">
        <v>1011</v>
      </c>
      <c r="P384" s="24" t="s">
        <v>2748</v>
      </c>
      <c r="Q384" s="27"/>
      <c r="R384" s="27"/>
      <c r="S384" s="31" t="s">
        <v>2749</v>
      </c>
      <c r="T384" s="33" t="s">
        <v>2750</v>
      </c>
      <c r="U384" s="29" t="s">
        <v>2751</v>
      </c>
      <c r="V384" s="24" t="str">
        <f>iferror(VLOOKUP(A384,'tagging table'!A:G,7,0),"")</f>
        <v>Dairy</v>
      </c>
    </row>
    <row r="385">
      <c r="A385" s="30">
        <v>7.290106663121E12</v>
      </c>
      <c r="B385" s="20" t="s">
        <v>2752</v>
      </c>
      <c r="C385" s="21">
        <v>0.06</v>
      </c>
      <c r="D385" s="21">
        <v>0.09999999</v>
      </c>
      <c r="E385" s="21">
        <v>0.02</v>
      </c>
      <c r="F385" s="22">
        <v>15.0</v>
      </c>
      <c r="G385" s="23"/>
      <c r="H385" s="24" t="s">
        <v>2743</v>
      </c>
      <c r="I385" s="21" t="s">
        <v>2744</v>
      </c>
      <c r="J385" s="24"/>
      <c r="K385" s="24" t="s">
        <v>2753</v>
      </c>
      <c r="L385" s="20" t="s">
        <v>2754</v>
      </c>
      <c r="M385" s="25" t="s">
        <v>2755</v>
      </c>
      <c r="N385" s="26" t="s">
        <v>28</v>
      </c>
      <c r="O385" s="24" t="s">
        <v>2756</v>
      </c>
      <c r="P385" s="24" t="s">
        <v>2757</v>
      </c>
      <c r="Q385" s="27"/>
      <c r="R385" s="27"/>
      <c r="S385" s="28" t="s">
        <v>2758</v>
      </c>
      <c r="T385" s="8" t="s">
        <v>2759</v>
      </c>
      <c r="U385" s="29" t="s">
        <v>2760</v>
      </c>
      <c r="V385" s="24" t="str">
        <f>iferror(VLOOKUP(A385,'tagging table'!A:G,7,0),"")</f>
        <v>Dairy</v>
      </c>
    </row>
    <row r="386">
      <c r="A386" s="30">
        <v>5839313.0</v>
      </c>
      <c r="B386" s="20" t="s">
        <v>2761</v>
      </c>
      <c r="C386" s="21">
        <v>0.07</v>
      </c>
      <c r="D386" s="21">
        <v>0.09</v>
      </c>
      <c r="E386" s="21">
        <v>0.07</v>
      </c>
      <c r="F386" s="22">
        <v>4.0</v>
      </c>
      <c r="G386" s="23"/>
      <c r="H386" s="24" t="s">
        <v>2743</v>
      </c>
      <c r="I386" s="21" t="s">
        <v>2744</v>
      </c>
      <c r="J386" s="24"/>
      <c r="K386" s="24" t="s">
        <v>2762</v>
      </c>
      <c r="L386" s="20" t="s">
        <v>2763</v>
      </c>
      <c r="M386" s="25" t="s">
        <v>2764</v>
      </c>
      <c r="N386" s="26" t="s">
        <v>28</v>
      </c>
      <c r="O386" s="24" t="s">
        <v>1011</v>
      </c>
      <c r="P386" s="24" t="s">
        <v>2748</v>
      </c>
      <c r="Q386" s="27"/>
      <c r="R386" s="27"/>
      <c r="S386" s="31" t="s">
        <v>2765</v>
      </c>
      <c r="T386" s="8" t="s">
        <v>2766</v>
      </c>
      <c r="U386" s="29" t="s">
        <v>2751</v>
      </c>
      <c r="V386" s="24" t="str">
        <f>iferror(VLOOKUP(A386,'tagging table'!A:G,7,0),"")</f>
        <v>Dairy</v>
      </c>
    </row>
    <row r="387">
      <c r="A387" s="30">
        <v>7.290104066016E12</v>
      </c>
      <c r="B387" s="20" t="s">
        <v>2767</v>
      </c>
      <c r="C387" s="21">
        <v>0.065</v>
      </c>
      <c r="D387" s="21">
        <v>0.09</v>
      </c>
      <c r="E387" s="21">
        <v>0.065</v>
      </c>
      <c r="F387" s="22">
        <v>5.0</v>
      </c>
      <c r="G387" s="23"/>
      <c r="H387" s="24" t="s">
        <v>2743</v>
      </c>
      <c r="I387" s="21" t="s">
        <v>2744</v>
      </c>
      <c r="J387" s="24"/>
      <c r="K387" s="24" t="s">
        <v>2768</v>
      </c>
      <c r="L387" s="20" t="s">
        <v>2769</v>
      </c>
      <c r="M387" s="25" t="s">
        <v>2770</v>
      </c>
      <c r="N387" s="26" t="s">
        <v>28</v>
      </c>
      <c r="O387" s="24" t="s">
        <v>1011</v>
      </c>
      <c r="P387" s="24" t="s">
        <v>2748</v>
      </c>
      <c r="Q387" s="27"/>
      <c r="R387" s="27"/>
      <c r="S387" s="31" t="s">
        <v>2771</v>
      </c>
      <c r="T387" s="33" t="s">
        <v>2772</v>
      </c>
      <c r="U387" s="29" t="s">
        <v>2751</v>
      </c>
      <c r="V387" s="24" t="str">
        <f>iferror(VLOOKUP(A387,'tagging table'!A:G,7,0),"")</f>
        <v>Dairy</v>
      </c>
    </row>
    <row r="388">
      <c r="A388" s="30">
        <v>7.290107933315E12</v>
      </c>
      <c r="B388" s="20" t="s">
        <v>2773</v>
      </c>
      <c r="C388" s="21">
        <v>0.073</v>
      </c>
      <c r="D388" s="21">
        <v>0.232</v>
      </c>
      <c r="E388" s="21">
        <v>0.075</v>
      </c>
      <c r="F388" s="22">
        <v>4.0</v>
      </c>
      <c r="G388" s="23"/>
      <c r="H388" s="32" t="s">
        <v>695</v>
      </c>
      <c r="I388" s="21" t="s">
        <v>2774</v>
      </c>
      <c r="J388" s="24"/>
      <c r="K388" s="24" t="s">
        <v>2775</v>
      </c>
      <c r="L388" s="20" t="s">
        <v>2776</v>
      </c>
      <c r="M388" s="25" t="s">
        <v>2777</v>
      </c>
      <c r="N388" s="26" t="s">
        <v>28</v>
      </c>
      <c r="O388" s="24" t="s">
        <v>907</v>
      </c>
      <c r="P388" s="24" t="s">
        <v>908</v>
      </c>
      <c r="Q388" s="27"/>
      <c r="R388" s="27"/>
      <c r="S388" s="28" t="s">
        <v>2778</v>
      </c>
      <c r="T388" s="8" t="s">
        <v>2779</v>
      </c>
      <c r="U388" s="29" t="s">
        <v>2774</v>
      </c>
      <c r="V388" s="24" t="str">
        <f>iferror(VLOOKUP(A388,'tagging table'!A:G,7,0),"")</f>
        <v>Dairy</v>
      </c>
    </row>
    <row r="389">
      <c r="A389" s="30">
        <v>42435.0</v>
      </c>
      <c r="B389" s="20" t="s">
        <v>2780</v>
      </c>
      <c r="C389" s="21">
        <v>0.075</v>
      </c>
      <c r="D389" s="21">
        <v>0.232</v>
      </c>
      <c r="E389" s="21">
        <v>0.07</v>
      </c>
      <c r="F389" s="22">
        <v>4.0</v>
      </c>
      <c r="G389" s="23"/>
      <c r="H389" s="32" t="s">
        <v>57</v>
      </c>
      <c r="I389" s="21" t="s">
        <v>2781</v>
      </c>
      <c r="J389" s="24"/>
      <c r="K389" s="24" t="s">
        <v>2782</v>
      </c>
      <c r="L389" s="20" t="s">
        <v>2783</v>
      </c>
      <c r="M389" s="25" t="s">
        <v>2784</v>
      </c>
      <c r="N389" s="26" t="s">
        <v>28</v>
      </c>
      <c r="O389" s="24" t="s">
        <v>907</v>
      </c>
      <c r="P389" s="24" t="s">
        <v>2785</v>
      </c>
      <c r="Q389" s="27"/>
      <c r="R389" s="27"/>
      <c r="S389" s="28" t="s">
        <v>2786</v>
      </c>
      <c r="T389" s="8" t="s">
        <v>2787</v>
      </c>
      <c r="U389" s="29" t="s">
        <v>2781</v>
      </c>
      <c r="V389" s="24" t="str">
        <f>iferror(VLOOKUP(A389,'tagging table'!A:G,7,0),"")</f>
        <v>Dairy</v>
      </c>
    </row>
    <row r="390">
      <c r="A390" s="30">
        <v>7.290107932134E12</v>
      </c>
      <c r="B390" s="20" t="s">
        <v>2788</v>
      </c>
      <c r="C390" s="21">
        <v>0.08</v>
      </c>
      <c r="D390" s="21">
        <v>0.232</v>
      </c>
      <c r="E390" s="21">
        <v>0.07</v>
      </c>
      <c r="F390" s="22">
        <v>4.0</v>
      </c>
      <c r="G390" s="23"/>
      <c r="H390" s="32" t="s">
        <v>695</v>
      </c>
      <c r="I390" s="21" t="s">
        <v>2789</v>
      </c>
      <c r="J390" s="24"/>
      <c r="K390" s="24" t="s">
        <v>2790</v>
      </c>
      <c r="L390" s="20" t="s">
        <v>2791</v>
      </c>
      <c r="M390" s="25" t="s">
        <v>2792</v>
      </c>
      <c r="N390" s="26" t="s">
        <v>28</v>
      </c>
      <c r="O390" s="24" t="s">
        <v>907</v>
      </c>
      <c r="P390" s="24" t="s">
        <v>908</v>
      </c>
      <c r="Q390" s="27"/>
      <c r="R390" s="27"/>
      <c r="S390" s="28" t="s">
        <v>2793</v>
      </c>
      <c r="T390" s="8" t="s">
        <v>2794</v>
      </c>
      <c r="U390" s="29" t="s">
        <v>2789</v>
      </c>
      <c r="V390" s="24" t="str">
        <f>iferror(VLOOKUP(A390,'tagging table'!A:G,7,0),"")</f>
        <v>Dairy</v>
      </c>
    </row>
    <row r="391">
      <c r="A391" s="30">
        <v>42442.0</v>
      </c>
      <c r="B391" s="20" t="s">
        <v>2795</v>
      </c>
      <c r="C391" s="21">
        <v>0.075</v>
      </c>
      <c r="D391" s="21">
        <v>0.232</v>
      </c>
      <c r="E391" s="21">
        <v>0.07</v>
      </c>
      <c r="F391" s="22">
        <v>4.0</v>
      </c>
      <c r="G391" s="23"/>
      <c r="H391" s="32" t="s">
        <v>57</v>
      </c>
      <c r="I391" s="21" t="s">
        <v>2796</v>
      </c>
      <c r="J391" s="24"/>
      <c r="K391" s="24" t="s">
        <v>2797</v>
      </c>
      <c r="L391" s="20" t="s">
        <v>2798</v>
      </c>
      <c r="M391" s="25" t="s">
        <v>2799</v>
      </c>
      <c r="N391" s="26" t="s">
        <v>28</v>
      </c>
      <c r="O391" s="24" t="s">
        <v>907</v>
      </c>
      <c r="P391" s="24" t="s">
        <v>2785</v>
      </c>
      <c r="Q391" s="27"/>
      <c r="R391" s="27"/>
      <c r="S391" s="28" t="s">
        <v>2800</v>
      </c>
      <c r="T391" s="8" t="s">
        <v>2801</v>
      </c>
      <c r="U391" s="29" t="s">
        <v>2796</v>
      </c>
      <c r="V391" s="24" t="str">
        <f>iferror(VLOOKUP(A391,'tagging table'!A:G,7,0),"")</f>
        <v>Dairy</v>
      </c>
    </row>
    <row r="392">
      <c r="A392" s="30">
        <v>7.29010793208E12</v>
      </c>
      <c r="B392" s="20" t="s">
        <v>2802</v>
      </c>
      <c r="C392" s="21">
        <v>0.08</v>
      </c>
      <c r="D392" s="21">
        <v>0.23</v>
      </c>
      <c r="E392" s="21">
        <v>0.08</v>
      </c>
      <c r="F392" s="22">
        <v>4.0</v>
      </c>
      <c r="G392" s="23"/>
      <c r="H392" s="32" t="s">
        <v>695</v>
      </c>
      <c r="I392" s="21" t="s">
        <v>2803</v>
      </c>
      <c r="J392" s="24"/>
      <c r="K392" s="24" t="s">
        <v>2804</v>
      </c>
      <c r="L392" s="20" t="s">
        <v>2805</v>
      </c>
      <c r="M392" s="25" t="s">
        <v>2806</v>
      </c>
      <c r="N392" s="26" t="s">
        <v>28</v>
      </c>
      <c r="O392" s="24" t="s">
        <v>907</v>
      </c>
      <c r="P392" s="24" t="s">
        <v>908</v>
      </c>
      <c r="Q392" s="27"/>
      <c r="R392" s="27"/>
      <c r="S392" s="28" t="s">
        <v>2807</v>
      </c>
      <c r="T392" s="8" t="s">
        <v>2808</v>
      </c>
      <c r="U392" s="29" t="s">
        <v>2803</v>
      </c>
      <c r="V392" s="24" t="str">
        <f>iferror(VLOOKUP(A392,'tagging table'!A:G,7,0),"")</f>
        <v>Dairy</v>
      </c>
    </row>
    <row r="393">
      <c r="A393" s="30">
        <v>7.290006764768E12</v>
      </c>
      <c r="B393" s="20" t="s">
        <v>2809</v>
      </c>
      <c r="C393" s="21">
        <v>0.065</v>
      </c>
      <c r="D393" s="21">
        <v>0.24</v>
      </c>
      <c r="E393" s="21">
        <v>0.065</v>
      </c>
      <c r="F393" s="22">
        <v>5.0</v>
      </c>
      <c r="G393" s="23"/>
      <c r="H393" s="24" t="s">
        <v>2810</v>
      </c>
      <c r="I393" s="21" t="s">
        <v>2811</v>
      </c>
      <c r="J393" s="20" t="s">
        <v>1347</v>
      </c>
      <c r="K393" s="24" t="s">
        <v>2812</v>
      </c>
      <c r="L393" s="20" t="s">
        <v>2813</v>
      </c>
      <c r="M393" s="25" t="s">
        <v>2814</v>
      </c>
      <c r="N393" s="26" t="s">
        <v>37</v>
      </c>
      <c r="O393" s="24" t="s">
        <v>718</v>
      </c>
      <c r="P393" s="24" t="s">
        <v>719</v>
      </c>
      <c r="Q393" s="27"/>
      <c r="R393" s="27"/>
      <c r="S393" s="28" t="s">
        <v>2815</v>
      </c>
      <c r="T393" s="8" t="s">
        <v>2816</v>
      </c>
      <c r="U393" s="29" t="e">
        <v>#N/A</v>
      </c>
      <c r="V393" s="21" t="s">
        <v>573</v>
      </c>
    </row>
    <row r="394">
      <c r="A394" s="30">
        <v>7.290010237562E12</v>
      </c>
      <c r="B394" s="20" t="s">
        <v>2817</v>
      </c>
      <c r="C394" s="21">
        <v>0.065</v>
      </c>
      <c r="D394" s="21">
        <v>0.24</v>
      </c>
      <c r="E394" s="21">
        <v>0.065</v>
      </c>
      <c r="F394" s="22">
        <v>5.0</v>
      </c>
      <c r="G394" s="23"/>
      <c r="H394" s="24" t="s">
        <v>2810</v>
      </c>
      <c r="I394" s="21" t="s">
        <v>2811</v>
      </c>
      <c r="J394" s="20" t="s">
        <v>1347</v>
      </c>
      <c r="K394" s="24" t="s">
        <v>2818</v>
      </c>
      <c r="L394" s="20" t="s">
        <v>2819</v>
      </c>
      <c r="M394" s="25" t="s">
        <v>2820</v>
      </c>
      <c r="N394" s="26" t="s">
        <v>28</v>
      </c>
      <c r="O394" s="24" t="s">
        <v>1351</v>
      </c>
      <c r="P394" s="24" t="s">
        <v>1359</v>
      </c>
      <c r="Q394" s="27"/>
      <c r="R394" s="27"/>
      <c r="S394" s="28" t="s">
        <v>2821</v>
      </c>
      <c r="T394" s="8" t="s">
        <v>2822</v>
      </c>
      <c r="U394" s="29" t="s">
        <v>2811</v>
      </c>
      <c r="V394" s="24" t="str">
        <f>iferror(VLOOKUP(A394,'tagging table'!A:G,7,0),"")</f>
        <v>Drinks</v>
      </c>
    </row>
    <row r="395">
      <c r="A395" s="30">
        <v>7.290006764782E12</v>
      </c>
      <c r="B395" s="20" t="s">
        <v>2823</v>
      </c>
      <c r="C395" s="21">
        <v>0.065</v>
      </c>
      <c r="D395" s="21">
        <v>0.24</v>
      </c>
      <c r="E395" s="21">
        <v>0.065</v>
      </c>
      <c r="F395" s="22">
        <v>5.0</v>
      </c>
      <c r="G395" s="23"/>
      <c r="H395" s="24" t="s">
        <v>2810</v>
      </c>
      <c r="I395" s="21" t="s">
        <v>2811</v>
      </c>
      <c r="J395" s="20" t="s">
        <v>1347</v>
      </c>
      <c r="K395" s="24" t="s">
        <v>2824</v>
      </c>
      <c r="L395" s="20" t="s">
        <v>2825</v>
      </c>
      <c r="M395" s="25" t="s">
        <v>2826</v>
      </c>
      <c r="N395" s="26" t="s">
        <v>37</v>
      </c>
      <c r="O395" s="24" t="s">
        <v>718</v>
      </c>
      <c r="P395" s="24" t="s">
        <v>719</v>
      </c>
      <c r="Q395" s="27"/>
      <c r="R395" s="27"/>
      <c r="S395" s="28" t="s">
        <v>2827</v>
      </c>
      <c r="T395" s="8" t="s">
        <v>2828</v>
      </c>
      <c r="U395" s="29" t="e">
        <v>#N/A</v>
      </c>
      <c r="V395" s="21" t="s">
        <v>573</v>
      </c>
    </row>
    <row r="396">
      <c r="A396" s="30">
        <v>433745.0</v>
      </c>
      <c r="B396" s="20" t="s">
        <v>2829</v>
      </c>
      <c r="C396" s="21">
        <v>0.08</v>
      </c>
      <c r="D396" s="21">
        <v>0.33</v>
      </c>
      <c r="E396" s="21">
        <v>0.08</v>
      </c>
      <c r="F396" s="22">
        <v>4.0</v>
      </c>
      <c r="G396" s="23"/>
      <c r="H396" s="24" t="s">
        <v>2810</v>
      </c>
      <c r="I396" s="21" t="s">
        <v>2811</v>
      </c>
      <c r="J396" s="20" t="s">
        <v>1347</v>
      </c>
      <c r="K396" s="24" t="s">
        <v>2830</v>
      </c>
      <c r="L396" s="20" t="s">
        <v>2831</v>
      </c>
      <c r="M396" s="25" t="s">
        <v>2832</v>
      </c>
      <c r="N396" s="26" t="s">
        <v>28</v>
      </c>
      <c r="O396" s="24" t="s">
        <v>1351</v>
      </c>
      <c r="P396" s="24" t="s">
        <v>1352</v>
      </c>
      <c r="Q396" s="27"/>
      <c r="R396" s="27"/>
      <c r="S396" s="28" t="s">
        <v>2833</v>
      </c>
      <c r="T396" s="8" t="s">
        <v>2834</v>
      </c>
      <c r="U396" s="29" t="s">
        <v>2811</v>
      </c>
      <c r="V396" s="24" t="str">
        <f>iferror(VLOOKUP(A396,'tagging table'!A:G,7,0),"")</f>
        <v>Drinks</v>
      </c>
    </row>
    <row r="397">
      <c r="A397" s="30">
        <v>5.060517886547E12</v>
      </c>
      <c r="B397" s="20" t="s">
        <v>2835</v>
      </c>
      <c r="C397" s="21">
        <v>0.066</v>
      </c>
      <c r="D397" s="21">
        <v>0.168</v>
      </c>
      <c r="E397" s="21">
        <v>0.066</v>
      </c>
      <c r="F397" s="22">
        <v>5.0</v>
      </c>
      <c r="G397" s="23"/>
      <c r="H397" s="24" t="s">
        <v>2836</v>
      </c>
      <c r="I397" s="21" t="s">
        <v>488</v>
      </c>
      <c r="J397" s="20" t="s">
        <v>488</v>
      </c>
      <c r="K397" s="24" t="s">
        <v>2837</v>
      </c>
      <c r="L397" s="20" t="s">
        <v>2838</v>
      </c>
      <c r="M397" s="25" t="s">
        <v>2839</v>
      </c>
      <c r="N397" s="26" t="s">
        <v>28</v>
      </c>
      <c r="O397" s="24" t="s">
        <v>340</v>
      </c>
      <c r="P397" s="24" t="s">
        <v>449</v>
      </c>
      <c r="Q397" s="27"/>
      <c r="R397" s="27"/>
      <c r="S397" s="31" t="s">
        <v>2840</v>
      </c>
      <c r="T397" s="33" t="s">
        <v>2841</v>
      </c>
      <c r="U397" s="29" t="s">
        <v>488</v>
      </c>
      <c r="V397" s="24" t="str">
        <f>iferror(VLOOKUP(A397,'tagging table'!A:G,7,0),"")</f>
        <v>Drinks</v>
      </c>
    </row>
    <row r="398">
      <c r="A398" s="30">
        <v>5.060517886486E12</v>
      </c>
      <c r="B398" s="20" t="s">
        <v>2842</v>
      </c>
      <c r="C398" s="21">
        <v>0.066</v>
      </c>
      <c r="D398" s="21">
        <v>0.168</v>
      </c>
      <c r="E398" s="21">
        <v>0.066</v>
      </c>
      <c r="F398" s="22">
        <v>5.0</v>
      </c>
      <c r="G398" s="23"/>
      <c r="H398" s="24" t="s">
        <v>2836</v>
      </c>
      <c r="I398" s="21" t="s">
        <v>488</v>
      </c>
      <c r="J398" s="20" t="s">
        <v>488</v>
      </c>
      <c r="K398" s="24" t="s">
        <v>2843</v>
      </c>
      <c r="L398" s="20" t="s">
        <v>2844</v>
      </c>
      <c r="M398" s="25" t="s">
        <v>2845</v>
      </c>
      <c r="N398" s="26" t="s">
        <v>28</v>
      </c>
      <c r="O398" s="24" t="s">
        <v>340</v>
      </c>
      <c r="P398" s="24" t="s">
        <v>449</v>
      </c>
      <c r="Q398" s="27"/>
      <c r="R398" s="27"/>
      <c r="S398" s="31" t="s">
        <v>2846</v>
      </c>
      <c r="T398" s="33" t="s">
        <v>2847</v>
      </c>
      <c r="U398" s="29" t="s">
        <v>488</v>
      </c>
      <c r="V398" s="24" t="str">
        <f>iferror(VLOOKUP(A398,'tagging table'!A:G,7,0),"")</f>
        <v>Drinks</v>
      </c>
    </row>
    <row r="399">
      <c r="A399" s="30">
        <v>5.060639129102E12</v>
      </c>
      <c r="B399" s="20" t="s">
        <v>2848</v>
      </c>
      <c r="C399" s="21">
        <v>0.066</v>
      </c>
      <c r="D399" s="21">
        <v>0.168</v>
      </c>
      <c r="E399" s="21">
        <v>0.066</v>
      </c>
      <c r="F399" s="22">
        <v>5.0</v>
      </c>
      <c r="G399" s="23"/>
      <c r="H399" s="24" t="s">
        <v>2836</v>
      </c>
      <c r="I399" s="21" t="s">
        <v>488</v>
      </c>
      <c r="J399" s="20" t="s">
        <v>488</v>
      </c>
      <c r="K399" s="24" t="s">
        <v>2849</v>
      </c>
      <c r="L399" s="20" t="s">
        <v>2850</v>
      </c>
      <c r="M399" s="25" t="s">
        <v>2851</v>
      </c>
      <c r="N399" s="26" t="s">
        <v>28</v>
      </c>
      <c r="O399" s="24" t="s">
        <v>340</v>
      </c>
      <c r="P399" s="24" t="s">
        <v>449</v>
      </c>
      <c r="Q399" s="27"/>
      <c r="R399" s="27"/>
      <c r="S399" s="28" t="s">
        <v>2852</v>
      </c>
      <c r="T399" s="8" t="s">
        <v>2853</v>
      </c>
      <c r="U399" s="29" t="s">
        <v>488</v>
      </c>
      <c r="V399" s="24" t="str">
        <f>iferror(VLOOKUP(A399,'tagging table'!A:G,7,0),"")</f>
        <v>Drinks</v>
      </c>
    </row>
    <row r="400">
      <c r="A400" s="30">
        <v>5.060517886516E12</v>
      </c>
      <c r="B400" s="20" t="s">
        <v>2854</v>
      </c>
      <c r="C400" s="21">
        <v>0.066</v>
      </c>
      <c r="D400" s="21">
        <v>0.168</v>
      </c>
      <c r="E400" s="21">
        <v>0.066</v>
      </c>
      <c r="F400" s="22">
        <v>5.0</v>
      </c>
      <c r="G400" s="23"/>
      <c r="H400" s="24" t="s">
        <v>2836</v>
      </c>
      <c r="I400" s="21" t="s">
        <v>488</v>
      </c>
      <c r="J400" s="20" t="s">
        <v>488</v>
      </c>
      <c r="K400" s="24" t="s">
        <v>2855</v>
      </c>
      <c r="L400" s="20" t="s">
        <v>2856</v>
      </c>
      <c r="M400" s="25" t="s">
        <v>2857</v>
      </c>
      <c r="N400" s="26" t="s">
        <v>28</v>
      </c>
      <c r="O400" s="24" t="s">
        <v>340</v>
      </c>
      <c r="P400" s="24" t="s">
        <v>449</v>
      </c>
      <c r="Q400" s="27"/>
      <c r="R400" s="27"/>
      <c r="S400" s="31" t="s">
        <v>2858</v>
      </c>
      <c r="T400" s="8" t="s">
        <v>2859</v>
      </c>
      <c r="U400" s="29" t="s">
        <v>488</v>
      </c>
      <c r="V400" s="24" t="str">
        <f>iferror(VLOOKUP(A400,'tagging table'!A:G,7,0),"")</f>
        <v>Drinks</v>
      </c>
    </row>
    <row r="401">
      <c r="A401" s="30">
        <v>7.290008750264E12</v>
      </c>
      <c r="B401" s="20" t="s">
        <v>2860</v>
      </c>
      <c r="C401" s="21">
        <v>0.046</v>
      </c>
      <c r="D401" s="21">
        <v>0.076</v>
      </c>
      <c r="E401" s="21">
        <v>0.02</v>
      </c>
      <c r="F401" s="22">
        <v>15.0</v>
      </c>
      <c r="G401" s="23"/>
      <c r="H401" s="24" t="s">
        <v>2861</v>
      </c>
      <c r="I401" s="21" t="s">
        <v>2862</v>
      </c>
      <c r="J401" s="24"/>
      <c r="K401" s="24" t="s">
        <v>2863</v>
      </c>
      <c r="L401" s="20" t="s">
        <v>2864</v>
      </c>
      <c r="M401" s="25" t="s">
        <v>2865</v>
      </c>
      <c r="N401" s="26" t="s">
        <v>37</v>
      </c>
      <c r="O401" s="24" t="s">
        <v>309</v>
      </c>
      <c r="P401" s="24" t="s">
        <v>310</v>
      </c>
      <c r="Q401" s="27"/>
      <c r="R401" s="27"/>
      <c r="S401" s="31" t="s">
        <v>2866</v>
      </c>
      <c r="T401" s="8" t="s">
        <v>2867</v>
      </c>
      <c r="U401" s="29" t="e">
        <v>#N/A</v>
      </c>
      <c r="V401" s="21" t="s">
        <v>284</v>
      </c>
    </row>
    <row r="402">
      <c r="A402" s="30">
        <v>7.290104068539E12</v>
      </c>
      <c r="B402" s="20" t="s">
        <v>2868</v>
      </c>
      <c r="C402" s="21">
        <v>0.046</v>
      </c>
      <c r="D402" s="21">
        <v>0.076</v>
      </c>
      <c r="E402" s="21">
        <v>0.02</v>
      </c>
      <c r="F402" s="22">
        <v>15.0</v>
      </c>
      <c r="G402" s="23"/>
      <c r="H402" s="24" t="s">
        <v>2861</v>
      </c>
      <c r="I402" s="21" t="s">
        <v>2862</v>
      </c>
      <c r="J402" s="24"/>
      <c r="K402" s="24" t="s">
        <v>2869</v>
      </c>
      <c r="L402" s="20" t="s">
        <v>2870</v>
      </c>
      <c r="M402" s="25" t="s">
        <v>2871</v>
      </c>
      <c r="N402" s="26" t="s">
        <v>28</v>
      </c>
      <c r="O402" s="24" t="s">
        <v>309</v>
      </c>
      <c r="P402" s="24" t="s">
        <v>310</v>
      </c>
      <c r="Q402" s="27"/>
      <c r="R402" s="27"/>
      <c r="S402" s="31" t="s">
        <v>2872</v>
      </c>
      <c r="T402" s="33" t="s">
        <v>2873</v>
      </c>
      <c r="U402" s="29" t="s">
        <v>2862</v>
      </c>
      <c r="V402" s="24" t="str">
        <f>iferror(VLOOKUP(A402,'tagging table'!A:G,7,0),"")</f>
        <v>Cashiers</v>
      </c>
    </row>
    <row r="403">
      <c r="A403" s="30">
        <v>7.290008754422E12</v>
      </c>
      <c r="B403" s="20" t="s">
        <v>2874</v>
      </c>
      <c r="C403" s="21">
        <v>0.045</v>
      </c>
      <c r="D403" s="21">
        <v>0.075</v>
      </c>
      <c r="E403" s="21">
        <v>0.02</v>
      </c>
      <c r="F403" s="22">
        <v>15.0</v>
      </c>
      <c r="G403" s="23"/>
      <c r="H403" s="24" t="s">
        <v>2861</v>
      </c>
      <c r="I403" s="21" t="s">
        <v>2862</v>
      </c>
      <c r="J403" s="24"/>
      <c r="K403" s="24" t="s">
        <v>2875</v>
      </c>
      <c r="L403" s="20" t="s">
        <v>2876</v>
      </c>
      <c r="M403" s="25" t="s">
        <v>2877</v>
      </c>
      <c r="N403" s="26" t="s">
        <v>37</v>
      </c>
      <c r="O403" s="24" t="s">
        <v>309</v>
      </c>
      <c r="P403" s="24" t="s">
        <v>310</v>
      </c>
      <c r="Q403" s="27"/>
      <c r="R403" s="27"/>
      <c r="S403" s="31" t="s">
        <v>2878</v>
      </c>
      <c r="T403" s="33" t="s">
        <v>2879</v>
      </c>
      <c r="U403" s="29" t="e">
        <v>#N/A</v>
      </c>
      <c r="V403" s="21" t="s">
        <v>284</v>
      </c>
    </row>
    <row r="404">
      <c r="A404" s="30">
        <v>7.724511061E10</v>
      </c>
      <c r="B404" s="20" t="s">
        <v>2880</v>
      </c>
      <c r="C404" s="21">
        <v>0.12</v>
      </c>
      <c r="D404" s="21">
        <v>0.19</v>
      </c>
      <c r="E404" s="21">
        <v>0.015</v>
      </c>
      <c r="F404" s="22">
        <v>20.0</v>
      </c>
      <c r="G404" s="23"/>
      <c r="H404" s="24" t="s">
        <v>2881</v>
      </c>
      <c r="I404" s="21" t="s">
        <v>2882</v>
      </c>
      <c r="J404" s="21" t="s">
        <v>1446</v>
      </c>
      <c r="K404" s="24" t="s">
        <v>2883</v>
      </c>
      <c r="L404" s="20" t="s">
        <v>2884</v>
      </c>
      <c r="M404" s="25" t="s">
        <v>2885</v>
      </c>
      <c r="N404" s="26" t="s">
        <v>28</v>
      </c>
      <c r="O404" s="24" t="s">
        <v>2611</v>
      </c>
      <c r="P404" s="24" t="s">
        <v>2886</v>
      </c>
      <c r="Q404" s="27"/>
      <c r="R404" s="27"/>
      <c r="S404" s="28" t="s">
        <v>2887</v>
      </c>
      <c r="T404" s="8" t="s">
        <v>2888</v>
      </c>
      <c r="U404" s="29" t="s">
        <v>2862</v>
      </c>
      <c r="V404" s="24" t="str">
        <f>iferror(VLOOKUP(A404,'tagging table'!A:G,7,0),"")</f>
        <v>Sweets</v>
      </c>
    </row>
    <row r="405">
      <c r="A405" s="30">
        <v>7.290008754415E12</v>
      </c>
      <c r="B405" s="20" t="s">
        <v>2889</v>
      </c>
      <c r="C405" s="21">
        <v>0.046</v>
      </c>
      <c r="D405" s="21">
        <v>0.076</v>
      </c>
      <c r="E405" s="21">
        <v>0.02</v>
      </c>
      <c r="F405" s="22">
        <v>15.0</v>
      </c>
      <c r="G405" s="23"/>
      <c r="H405" s="24" t="s">
        <v>2861</v>
      </c>
      <c r="I405" s="21" t="s">
        <v>2862</v>
      </c>
      <c r="J405" s="24"/>
      <c r="K405" s="24" t="s">
        <v>2890</v>
      </c>
      <c r="L405" s="20" t="s">
        <v>2891</v>
      </c>
      <c r="M405" s="25" t="s">
        <v>2892</v>
      </c>
      <c r="N405" s="26" t="s">
        <v>37</v>
      </c>
      <c r="O405" s="24" t="s">
        <v>309</v>
      </c>
      <c r="P405" s="24" t="s">
        <v>310</v>
      </c>
      <c r="Q405" s="27"/>
      <c r="R405" s="27"/>
      <c r="S405" s="31" t="s">
        <v>2893</v>
      </c>
      <c r="T405" s="33" t="s">
        <v>2894</v>
      </c>
      <c r="U405" s="29" t="e">
        <v>#N/A</v>
      </c>
      <c r="V405" s="21" t="s">
        <v>284</v>
      </c>
    </row>
    <row r="406">
      <c r="A406" s="30">
        <v>7.290112337474E12</v>
      </c>
      <c r="B406" s="20" t="s">
        <v>2895</v>
      </c>
      <c r="C406" s="21">
        <v>0.12</v>
      </c>
      <c r="D406" s="21">
        <v>0.19</v>
      </c>
      <c r="E406" s="21">
        <v>0.015</v>
      </c>
      <c r="F406" s="22">
        <v>20.0</v>
      </c>
      <c r="G406" s="23"/>
      <c r="H406" s="32" t="s">
        <v>2881</v>
      </c>
      <c r="I406" s="21" t="s">
        <v>2882</v>
      </c>
      <c r="J406" s="19" t="s">
        <v>1446</v>
      </c>
      <c r="K406" s="24" t="s">
        <v>2896</v>
      </c>
      <c r="L406" s="20" t="s">
        <v>2897</v>
      </c>
      <c r="M406" s="25" t="s">
        <v>2898</v>
      </c>
      <c r="N406" s="26" t="s">
        <v>28</v>
      </c>
      <c r="O406" s="24" t="s">
        <v>2611</v>
      </c>
      <c r="P406" s="24" t="s">
        <v>2886</v>
      </c>
      <c r="Q406" s="27"/>
      <c r="R406" s="27"/>
      <c r="S406" s="28" t="s">
        <v>2899</v>
      </c>
      <c r="T406" s="33" t="s">
        <v>2900</v>
      </c>
      <c r="U406" s="29" t="s">
        <v>2862</v>
      </c>
      <c r="V406" s="24" t="str">
        <f>iferror(VLOOKUP(A406,'tagging table'!A:G,7,0),"")</f>
        <v>Sweets</v>
      </c>
    </row>
    <row r="407">
      <c r="A407" s="30">
        <v>7.290112336651E12</v>
      </c>
      <c r="B407" s="20" t="s">
        <v>2901</v>
      </c>
      <c r="C407" s="21">
        <v>0.12</v>
      </c>
      <c r="D407" s="21">
        <v>0.19</v>
      </c>
      <c r="E407" s="21">
        <v>0.015</v>
      </c>
      <c r="F407" s="22">
        <v>20.0</v>
      </c>
      <c r="G407" s="23"/>
      <c r="H407" s="32" t="s">
        <v>2881</v>
      </c>
      <c r="I407" s="21" t="s">
        <v>2882</v>
      </c>
      <c r="J407" s="42" t="s">
        <v>1446</v>
      </c>
      <c r="K407" s="24" t="s">
        <v>2902</v>
      </c>
      <c r="L407" s="20" t="s">
        <v>2903</v>
      </c>
      <c r="M407" s="25" t="s">
        <v>2904</v>
      </c>
      <c r="N407" s="26" t="s">
        <v>28</v>
      </c>
      <c r="O407" s="24" t="s">
        <v>2611</v>
      </c>
      <c r="P407" s="24" t="s">
        <v>2886</v>
      </c>
      <c r="Q407" s="27"/>
      <c r="R407" s="27"/>
      <c r="S407" s="28" t="s">
        <v>2905</v>
      </c>
      <c r="T407" s="8" t="s">
        <v>2906</v>
      </c>
      <c r="U407" s="29" t="s">
        <v>2862</v>
      </c>
      <c r="V407" s="24" t="str">
        <f>iferror(VLOOKUP(A407,'tagging table'!A:G,7,0),"")</f>
        <v>Sweets</v>
      </c>
    </row>
    <row r="408">
      <c r="A408" s="30">
        <v>7.290112337481E12</v>
      </c>
      <c r="B408" s="20" t="s">
        <v>2907</v>
      </c>
      <c r="C408" s="21">
        <v>0.12</v>
      </c>
      <c r="D408" s="21">
        <v>0.19</v>
      </c>
      <c r="E408" s="21">
        <v>0.015</v>
      </c>
      <c r="F408" s="22">
        <v>20.0</v>
      </c>
      <c r="G408" s="23"/>
      <c r="H408" s="32" t="s">
        <v>2881</v>
      </c>
      <c r="I408" s="21" t="s">
        <v>2882</v>
      </c>
      <c r="J408" s="42" t="s">
        <v>1446</v>
      </c>
      <c r="K408" s="24" t="s">
        <v>2908</v>
      </c>
      <c r="L408" s="20" t="s">
        <v>2909</v>
      </c>
      <c r="M408" s="25" t="s">
        <v>2910</v>
      </c>
      <c r="N408" s="26" t="s">
        <v>28</v>
      </c>
      <c r="O408" s="24" t="s">
        <v>2611</v>
      </c>
      <c r="P408" s="24" t="s">
        <v>2886</v>
      </c>
      <c r="Q408" s="27"/>
      <c r="R408" s="27"/>
      <c r="S408" s="28" t="s">
        <v>2911</v>
      </c>
      <c r="T408" s="8" t="s">
        <v>2912</v>
      </c>
      <c r="U408" s="29" t="s">
        <v>2862</v>
      </c>
      <c r="V408" s="24" t="str">
        <f>iferror(VLOOKUP(A408,'tagging table'!A:G,7,0),"")</f>
        <v>Sweets</v>
      </c>
    </row>
    <row r="409">
      <c r="A409" s="30">
        <v>7.290112336637E12</v>
      </c>
      <c r="B409" s="20" t="s">
        <v>2913</v>
      </c>
      <c r="C409" s="21">
        <v>0.12</v>
      </c>
      <c r="D409" s="21">
        <v>0.19</v>
      </c>
      <c r="E409" s="21">
        <v>0.015</v>
      </c>
      <c r="F409" s="22">
        <v>20.0</v>
      </c>
      <c r="G409" s="23"/>
      <c r="H409" s="32" t="s">
        <v>2881</v>
      </c>
      <c r="I409" s="21" t="s">
        <v>2882</v>
      </c>
      <c r="J409" s="42" t="s">
        <v>1446</v>
      </c>
      <c r="K409" s="24" t="s">
        <v>2914</v>
      </c>
      <c r="L409" s="20" t="s">
        <v>2915</v>
      </c>
      <c r="M409" s="25" t="s">
        <v>2916</v>
      </c>
      <c r="N409" s="26" t="s">
        <v>28</v>
      </c>
      <c r="O409" s="24" t="s">
        <v>2611</v>
      </c>
      <c r="P409" s="24" t="s">
        <v>2886</v>
      </c>
      <c r="Q409" s="27"/>
      <c r="R409" s="27"/>
      <c r="S409" s="31" t="s">
        <v>2917</v>
      </c>
      <c r="T409" s="8" t="s">
        <v>2918</v>
      </c>
      <c r="U409" s="29" t="s">
        <v>2862</v>
      </c>
      <c r="V409" s="24" t="str">
        <f>iferror(VLOOKUP(A409,'tagging table'!A:G,7,0),"")</f>
        <v>Sweets</v>
      </c>
    </row>
    <row r="410">
      <c r="A410" s="30">
        <v>7.290112336644E12</v>
      </c>
      <c r="B410" s="20" t="s">
        <v>2919</v>
      </c>
      <c r="C410" s="21">
        <v>0.12</v>
      </c>
      <c r="D410" s="21">
        <v>0.19</v>
      </c>
      <c r="E410" s="21">
        <v>0.015</v>
      </c>
      <c r="F410" s="22">
        <v>20.0</v>
      </c>
      <c r="G410" s="23"/>
      <c r="H410" s="32" t="s">
        <v>2881</v>
      </c>
      <c r="I410" s="21" t="s">
        <v>2882</v>
      </c>
      <c r="J410" s="42" t="s">
        <v>1446</v>
      </c>
      <c r="K410" s="24" t="s">
        <v>2920</v>
      </c>
      <c r="L410" s="20" t="s">
        <v>2921</v>
      </c>
      <c r="M410" s="25" t="s">
        <v>2922</v>
      </c>
      <c r="N410" s="26" t="s">
        <v>28</v>
      </c>
      <c r="O410" s="24" t="s">
        <v>2611</v>
      </c>
      <c r="P410" s="24" t="s">
        <v>2886</v>
      </c>
      <c r="Q410" s="27"/>
      <c r="R410" s="27"/>
      <c r="S410" s="28" t="s">
        <v>2923</v>
      </c>
      <c r="T410" s="8" t="s">
        <v>2924</v>
      </c>
      <c r="U410" s="29" t="s">
        <v>2862</v>
      </c>
      <c r="V410" s="24" t="str">
        <f>iferror(VLOOKUP(A410,'tagging table'!A:G,7,0),"")</f>
        <v>Sweets</v>
      </c>
    </row>
    <row r="411">
      <c r="A411" s="30">
        <v>7.290100247808E12</v>
      </c>
      <c r="B411" s="20" t="s">
        <v>2925</v>
      </c>
      <c r="C411" s="21">
        <v>0.065</v>
      </c>
      <c r="D411" s="21">
        <v>0.09999999</v>
      </c>
      <c r="E411" s="21">
        <v>0.02</v>
      </c>
      <c r="F411" s="22">
        <v>15.0</v>
      </c>
      <c r="G411" s="23"/>
      <c r="H411" s="24" t="s">
        <v>2926</v>
      </c>
      <c r="I411" s="21" t="s">
        <v>2927</v>
      </c>
      <c r="J411" s="20" t="s">
        <v>2514</v>
      </c>
      <c r="K411" s="24" t="s">
        <v>2928</v>
      </c>
      <c r="L411" s="20" t="s">
        <v>2929</v>
      </c>
      <c r="M411" s="25" t="s">
        <v>2930</v>
      </c>
      <c r="N411" s="26" t="s">
        <v>28</v>
      </c>
      <c r="O411" s="24" t="s">
        <v>2931</v>
      </c>
      <c r="P411" s="24" t="s">
        <v>2932</v>
      </c>
      <c r="Q411" s="27"/>
      <c r="R411" s="27"/>
      <c r="S411" s="28" t="s">
        <v>2933</v>
      </c>
      <c r="T411" s="8" t="s">
        <v>2934</v>
      </c>
      <c r="U411" s="29" t="s">
        <v>2935</v>
      </c>
      <c r="V411" s="24" t="str">
        <f>iferror(VLOOKUP(A411,'tagging table'!A:G,7,0),"")</f>
        <v>RMS</v>
      </c>
    </row>
    <row r="412">
      <c r="A412" s="30">
        <v>7.290100247815E12</v>
      </c>
      <c r="B412" s="20" t="s">
        <v>2936</v>
      </c>
      <c r="C412" s="21">
        <v>0.065</v>
      </c>
      <c r="D412" s="21">
        <v>0.09999999</v>
      </c>
      <c r="E412" s="21">
        <v>0.02</v>
      </c>
      <c r="F412" s="22">
        <v>15.0</v>
      </c>
      <c r="G412" s="23"/>
      <c r="H412" s="24" t="s">
        <v>2926</v>
      </c>
      <c r="I412" s="21" t="s">
        <v>2927</v>
      </c>
      <c r="J412" s="20" t="s">
        <v>2514</v>
      </c>
      <c r="K412" s="24" t="s">
        <v>2937</v>
      </c>
      <c r="L412" s="20" t="s">
        <v>2938</v>
      </c>
      <c r="M412" s="25" t="s">
        <v>2939</v>
      </c>
      <c r="N412" s="26" t="s">
        <v>28</v>
      </c>
      <c r="O412" s="24" t="s">
        <v>2931</v>
      </c>
      <c r="P412" s="24" t="s">
        <v>2932</v>
      </c>
      <c r="Q412" s="27"/>
      <c r="R412" s="27"/>
      <c r="S412" s="31" t="s">
        <v>2940</v>
      </c>
      <c r="T412" s="33" t="s">
        <v>2941</v>
      </c>
      <c r="U412" s="29" t="s">
        <v>2935</v>
      </c>
      <c r="V412" s="24" t="str">
        <f>iferror(VLOOKUP(A412,'tagging table'!A:G,7,0),"")</f>
        <v>RMS</v>
      </c>
    </row>
    <row r="413">
      <c r="A413" s="30">
        <v>7.290112497284E12</v>
      </c>
      <c r="B413" s="20" t="s">
        <v>2942</v>
      </c>
      <c r="C413" s="21">
        <v>0.065</v>
      </c>
      <c r="D413" s="21">
        <v>0.09999999</v>
      </c>
      <c r="E413" s="21">
        <v>0.02</v>
      </c>
      <c r="F413" s="22">
        <v>15.0</v>
      </c>
      <c r="G413" s="23"/>
      <c r="H413" s="24" t="s">
        <v>2926</v>
      </c>
      <c r="I413" s="21" t="s">
        <v>2927</v>
      </c>
      <c r="J413" s="20" t="s">
        <v>2514</v>
      </c>
      <c r="K413" s="24" t="s">
        <v>2943</v>
      </c>
      <c r="L413" s="20" t="s">
        <v>2944</v>
      </c>
      <c r="M413" s="25" t="s">
        <v>2945</v>
      </c>
      <c r="N413" s="26" t="s">
        <v>28</v>
      </c>
      <c r="O413" s="24" t="s">
        <v>2931</v>
      </c>
      <c r="P413" s="24" t="s">
        <v>2932</v>
      </c>
      <c r="Q413" s="27"/>
      <c r="R413" s="27"/>
      <c r="S413" s="28" t="s">
        <v>2946</v>
      </c>
      <c r="T413" s="8" t="s">
        <v>2947</v>
      </c>
      <c r="U413" s="29" t="s">
        <v>2948</v>
      </c>
      <c r="V413" s="24" t="str">
        <f>iferror(VLOOKUP(A413,'tagging table'!A:G,7,0),"")</f>
        <v>RMS</v>
      </c>
    </row>
    <row r="414">
      <c r="A414" s="30">
        <v>7.290112497291E12</v>
      </c>
      <c r="B414" s="20" t="s">
        <v>2949</v>
      </c>
      <c r="C414" s="21">
        <v>0.065</v>
      </c>
      <c r="D414" s="21">
        <v>0.09999999</v>
      </c>
      <c r="E414" s="21">
        <v>0.017</v>
      </c>
      <c r="F414" s="22">
        <v>18.0</v>
      </c>
      <c r="G414" s="23"/>
      <c r="H414" s="24" t="s">
        <v>2926</v>
      </c>
      <c r="I414" s="21" t="s">
        <v>2927</v>
      </c>
      <c r="J414" s="20" t="s">
        <v>2514</v>
      </c>
      <c r="K414" s="24" t="s">
        <v>2950</v>
      </c>
      <c r="L414" s="20" t="s">
        <v>2951</v>
      </c>
      <c r="M414" s="25" t="s">
        <v>2952</v>
      </c>
      <c r="N414" s="26" t="s">
        <v>28</v>
      </c>
      <c r="O414" s="24" t="s">
        <v>2931</v>
      </c>
      <c r="P414" s="24" t="s">
        <v>2932</v>
      </c>
      <c r="Q414" s="27"/>
      <c r="R414" s="27"/>
      <c r="S414" s="28" t="s">
        <v>2953</v>
      </c>
      <c r="T414" s="33" t="s">
        <v>2954</v>
      </c>
      <c r="U414" s="29" t="s">
        <v>2948</v>
      </c>
      <c r="V414" s="24" t="str">
        <f>iferror(VLOOKUP(A414,'tagging table'!A:G,7,0),"")</f>
        <v>RMS</v>
      </c>
    </row>
    <row r="415">
      <c r="A415" s="30">
        <v>7.290100247839E12</v>
      </c>
      <c r="B415" s="20" t="s">
        <v>2955</v>
      </c>
      <c r="C415" s="21">
        <v>0.065</v>
      </c>
      <c r="D415" s="21">
        <v>0.09999999</v>
      </c>
      <c r="E415" s="21">
        <v>0.02</v>
      </c>
      <c r="F415" s="22">
        <v>15.0</v>
      </c>
      <c r="G415" s="23"/>
      <c r="H415" s="24" t="s">
        <v>2926</v>
      </c>
      <c r="I415" s="21" t="s">
        <v>2927</v>
      </c>
      <c r="J415" s="20" t="s">
        <v>2514</v>
      </c>
      <c r="K415" s="24" t="s">
        <v>2956</v>
      </c>
      <c r="L415" s="20" t="s">
        <v>2957</v>
      </c>
      <c r="M415" s="25" t="s">
        <v>2958</v>
      </c>
      <c r="N415" s="26" t="s">
        <v>28</v>
      </c>
      <c r="O415" s="24" t="s">
        <v>2931</v>
      </c>
      <c r="P415" s="24" t="s">
        <v>2932</v>
      </c>
      <c r="Q415" s="27"/>
      <c r="R415" s="27"/>
      <c r="S415" s="28" t="s">
        <v>2959</v>
      </c>
      <c r="T415" s="8" t="s">
        <v>2960</v>
      </c>
      <c r="U415" s="29" t="s">
        <v>2935</v>
      </c>
      <c r="V415" s="24" t="str">
        <f>iferror(VLOOKUP(A415,'tagging table'!A:G,7,0),"")</f>
        <v>RMS</v>
      </c>
    </row>
    <row r="416">
      <c r="A416" s="30">
        <v>7.290100247822E12</v>
      </c>
      <c r="B416" s="20" t="s">
        <v>2961</v>
      </c>
      <c r="C416" s="21">
        <v>0.065</v>
      </c>
      <c r="D416" s="21">
        <v>0.09999999</v>
      </c>
      <c r="E416" s="21">
        <v>0.02</v>
      </c>
      <c r="F416" s="22">
        <v>15.0</v>
      </c>
      <c r="G416" s="23"/>
      <c r="H416" s="24" t="s">
        <v>2926</v>
      </c>
      <c r="I416" s="21" t="s">
        <v>2927</v>
      </c>
      <c r="J416" s="20" t="s">
        <v>2514</v>
      </c>
      <c r="K416" s="24" t="s">
        <v>2962</v>
      </c>
      <c r="L416" s="20" t="s">
        <v>2963</v>
      </c>
      <c r="M416" s="25" t="s">
        <v>2964</v>
      </c>
      <c r="N416" s="26" t="s">
        <v>28</v>
      </c>
      <c r="O416" s="24" t="s">
        <v>2931</v>
      </c>
      <c r="P416" s="24" t="s">
        <v>2932</v>
      </c>
      <c r="Q416" s="27"/>
      <c r="R416" s="27"/>
      <c r="S416" s="28" t="s">
        <v>2965</v>
      </c>
      <c r="T416" s="8" t="s">
        <v>2966</v>
      </c>
      <c r="U416" s="29" t="s">
        <v>2935</v>
      </c>
      <c r="V416" s="24" t="str">
        <f>iferror(VLOOKUP(A416,'tagging table'!A:G,7,0),"")</f>
        <v>RMS</v>
      </c>
    </row>
    <row r="417">
      <c r="A417" s="30">
        <v>4129118.0</v>
      </c>
      <c r="B417" s="20" t="s">
        <v>2967</v>
      </c>
      <c r="C417" s="21">
        <v>0.09</v>
      </c>
      <c r="D417" s="21">
        <v>0.095</v>
      </c>
      <c r="E417" s="21">
        <v>0.065</v>
      </c>
      <c r="F417" s="22">
        <v>5.0</v>
      </c>
      <c r="G417" s="23"/>
      <c r="H417" s="24" t="s">
        <v>2968</v>
      </c>
      <c r="I417" s="21" t="s">
        <v>2969</v>
      </c>
      <c r="J417" s="24"/>
      <c r="K417" s="24" t="s">
        <v>2970</v>
      </c>
      <c r="L417" s="20" t="s">
        <v>2971</v>
      </c>
      <c r="M417" s="25" t="s">
        <v>2972</v>
      </c>
      <c r="N417" s="26" t="s">
        <v>28</v>
      </c>
      <c r="O417" s="24" t="s">
        <v>2973</v>
      </c>
      <c r="P417" s="24" t="s">
        <v>2974</v>
      </c>
      <c r="Q417" s="27"/>
      <c r="R417" s="27"/>
      <c r="S417" s="28" t="s">
        <v>2975</v>
      </c>
      <c r="T417" s="8" t="s">
        <v>2976</v>
      </c>
      <c r="U417" s="29" t="s">
        <v>2969</v>
      </c>
      <c r="V417" s="24" t="str">
        <f>iferror(VLOOKUP(A417,'tagging table'!A:G,7,0),"")</f>
        <v>Dairy</v>
      </c>
    </row>
    <row r="418">
      <c r="A418" s="30">
        <v>4129156.0</v>
      </c>
      <c r="B418" s="20" t="s">
        <v>2977</v>
      </c>
      <c r="C418" s="21">
        <v>0.09</v>
      </c>
      <c r="D418" s="21">
        <v>0.095</v>
      </c>
      <c r="E418" s="21">
        <v>0.075</v>
      </c>
      <c r="F418" s="22">
        <v>4.0</v>
      </c>
      <c r="G418" s="23"/>
      <c r="H418" s="24" t="s">
        <v>2968</v>
      </c>
      <c r="I418" s="21" t="s">
        <v>2969</v>
      </c>
      <c r="J418" s="24"/>
      <c r="K418" s="24" t="s">
        <v>2978</v>
      </c>
      <c r="L418" s="20" t="s">
        <v>2979</v>
      </c>
      <c r="M418" s="25" t="s">
        <v>2980</v>
      </c>
      <c r="N418" s="26" t="s">
        <v>28</v>
      </c>
      <c r="O418" s="24" t="s">
        <v>2973</v>
      </c>
      <c r="P418" s="24" t="s">
        <v>2974</v>
      </c>
      <c r="Q418" s="27"/>
      <c r="R418" s="27"/>
      <c r="S418" s="28" t="s">
        <v>2981</v>
      </c>
      <c r="T418" s="8" t="s">
        <v>2982</v>
      </c>
      <c r="U418" s="29" t="s">
        <v>2969</v>
      </c>
      <c r="V418" s="24" t="str">
        <f>iferror(VLOOKUP(A418,'tagging table'!A:G,7,0),"")</f>
        <v>Dairy</v>
      </c>
    </row>
    <row r="419">
      <c r="A419" s="30">
        <v>4129101.0</v>
      </c>
      <c r="B419" s="20" t="s">
        <v>2983</v>
      </c>
      <c r="C419" s="21">
        <v>0.09</v>
      </c>
      <c r="D419" s="21">
        <v>0.095</v>
      </c>
      <c r="E419" s="21">
        <v>0.065</v>
      </c>
      <c r="F419" s="22">
        <v>5.0</v>
      </c>
      <c r="G419" s="23"/>
      <c r="H419" s="24" t="s">
        <v>2968</v>
      </c>
      <c r="I419" s="21" t="s">
        <v>2969</v>
      </c>
      <c r="J419" s="24"/>
      <c r="K419" s="24" t="s">
        <v>2984</v>
      </c>
      <c r="L419" s="20" t="s">
        <v>2985</v>
      </c>
      <c r="M419" s="25" t="s">
        <v>2986</v>
      </c>
      <c r="N419" s="26" t="s">
        <v>28</v>
      </c>
      <c r="O419" s="24" t="s">
        <v>2973</v>
      </c>
      <c r="P419" s="24" t="s">
        <v>2987</v>
      </c>
      <c r="Q419" s="27"/>
      <c r="R419" s="27"/>
      <c r="S419" s="28" t="s">
        <v>2988</v>
      </c>
      <c r="T419" s="8" t="s">
        <v>2989</v>
      </c>
      <c r="U419" s="29" t="s">
        <v>2969</v>
      </c>
      <c r="V419" s="24" t="str">
        <f>iferror(VLOOKUP(A419,'tagging table'!A:G,7,0),"")</f>
        <v>Dairy</v>
      </c>
    </row>
    <row r="420">
      <c r="A420" s="30">
        <v>7.290006764478E12</v>
      </c>
      <c r="B420" s="20" t="s">
        <v>2990</v>
      </c>
      <c r="C420" s="21">
        <v>0.06</v>
      </c>
      <c r="D420" s="21">
        <v>0.225</v>
      </c>
      <c r="E420" s="21">
        <v>0.02</v>
      </c>
      <c r="F420" s="22">
        <v>15.0</v>
      </c>
      <c r="G420" s="23"/>
      <c r="H420" s="24" t="s">
        <v>2991</v>
      </c>
      <c r="I420" s="21" t="s">
        <v>2992</v>
      </c>
      <c r="J420" s="20" t="s">
        <v>532</v>
      </c>
      <c r="K420" s="24" t="s">
        <v>2993</v>
      </c>
      <c r="L420" s="20" t="s">
        <v>2994</v>
      </c>
      <c r="M420" s="25" t="s">
        <v>2995</v>
      </c>
      <c r="N420" s="26" t="s">
        <v>37</v>
      </c>
      <c r="O420" s="24" t="s">
        <v>2996</v>
      </c>
      <c r="P420" s="24" t="s">
        <v>2997</v>
      </c>
      <c r="Q420" s="27"/>
      <c r="R420" s="27"/>
      <c r="S420" s="28" t="s">
        <v>2998</v>
      </c>
      <c r="T420" s="8" t="s">
        <v>2999</v>
      </c>
      <c r="U420" s="29" t="e">
        <v>#N/A</v>
      </c>
      <c r="V420" s="21" t="s">
        <v>573</v>
      </c>
    </row>
    <row r="421">
      <c r="A421" s="30">
        <v>7.290010237623E12</v>
      </c>
      <c r="B421" s="20" t="s">
        <v>3000</v>
      </c>
      <c r="C421" s="21">
        <v>0.093</v>
      </c>
      <c r="D421" s="21">
        <v>0.33</v>
      </c>
      <c r="E421" s="21">
        <v>0.093</v>
      </c>
      <c r="F421" s="22">
        <v>3.0</v>
      </c>
      <c r="G421" s="23"/>
      <c r="H421" s="24" t="s">
        <v>2991</v>
      </c>
      <c r="I421" s="21" t="s">
        <v>2992</v>
      </c>
      <c r="J421" s="20" t="s">
        <v>532</v>
      </c>
      <c r="K421" s="24" t="s">
        <v>3001</v>
      </c>
      <c r="L421" s="20" t="s">
        <v>3002</v>
      </c>
      <c r="M421" s="25" t="s">
        <v>3003</v>
      </c>
      <c r="N421" s="26" t="s">
        <v>28</v>
      </c>
      <c r="O421" s="24" t="s">
        <v>2996</v>
      </c>
      <c r="P421" s="24" t="s">
        <v>3004</v>
      </c>
      <c r="Q421" s="27"/>
      <c r="R421" s="27"/>
      <c r="S421" s="28" t="s">
        <v>3005</v>
      </c>
      <c r="T421" s="8" t="s">
        <v>3006</v>
      </c>
      <c r="U421" s="29" t="s">
        <v>2992</v>
      </c>
      <c r="V421" s="24" t="str">
        <f>iferror(VLOOKUP(A421,'tagging table'!A:G,7,0),"")</f>
        <v>Drinks</v>
      </c>
    </row>
    <row r="422">
      <c r="A422" s="30">
        <v>7.290112358011E12</v>
      </c>
      <c r="B422" s="20" t="s">
        <v>3007</v>
      </c>
      <c r="C422" s="21">
        <v>0.18</v>
      </c>
      <c r="D422" s="21">
        <v>0.205</v>
      </c>
      <c r="E422" s="21">
        <v>0.01</v>
      </c>
      <c r="F422" s="22">
        <v>30.0</v>
      </c>
      <c r="G422" s="23"/>
      <c r="H422" s="24" t="s">
        <v>3008</v>
      </c>
      <c r="I422" s="21" t="s">
        <v>3009</v>
      </c>
      <c r="J422" s="24"/>
      <c r="K422" s="24" t="s">
        <v>3010</v>
      </c>
      <c r="L422" s="20" t="s">
        <v>3011</v>
      </c>
      <c r="M422" s="25" t="s">
        <v>3012</v>
      </c>
      <c r="N422" s="26" t="s">
        <v>28</v>
      </c>
      <c r="O422" s="24" t="s">
        <v>501</v>
      </c>
      <c r="P422" s="24" t="s">
        <v>3013</v>
      </c>
      <c r="Q422" s="27"/>
      <c r="R422" s="27"/>
      <c r="S422" s="31" t="s">
        <v>3014</v>
      </c>
      <c r="T422" s="8" t="s">
        <v>3015</v>
      </c>
      <c r="U422" s="29" t="s">
        <v>3016</v>
      </c>
      <c r="V422" s="24" t="str">
        <f>iferror(VLOOKUP(A422,'tagging table'!A:G,7,0),"")</f>
        <v>Sweets</v>
      </c>
    </row>
    <row r="423">
      <c r="A423" s="30">
        <v>8.005200496525E12</v>
      </c>
      <c r="B423" s="20" t="s">
        <v>3017</v>
      </c>
      <c r="C423" s="21">
        <v>0.08899999</v>
      </c>
      <c r="D423" s="21">
        <v>0.322</v>
      </c>
      <c r="E423" s="21">
        <v>0.08899999</v>
      </c>
      <c r="F423" s="22">
        <v>3.0</v>
      </c>
      <c r="G423" s="23"/>
      <c r="H423" s="24" t="s">
        <v>3018</v>
      </c>
      <c r="I423" s="21" t="s">
        <v>3019</v>
      </c>
      <c r="J423" s="20" t="s">
        <v>145</v>
      </c>
      <c r="K423" s="24" t="s">
        <v>3020</v>
      </c>
      <c r="L423" s="20" t="s">
        <v>3021</v>
      </c>
      <c r="M423" s="25" t="s">
        <v>3022</v>
      </c>
      <c r="N423" s="26" t="s">
        <v>37</v>
      </c>
      <c r="O423" s="24" t="s">
        <v>149</v>
      </c>
      <c r="P423" s="24" t="s">
        <v>163</v>
      </c>
      <c r="Q423" s="27"/>
      <c r="R423" s="27"/>
      <c r="S423" s="28" t="s">
        <v>3023</v>
      </c>
      <c r="T423" s="8" t="s">
        <v>3024</v>
      </c>
      <c r="U423" s="29" t="e">
        <v>#N/A</v>
      </c>
      <c r="V423" s="21" t="s">
        <v>573</v>
      </c>
    </row>
    <row r="424">
      <c r="A424" s="30">
        <v>8.005200486526E12</v>
      </c>
      <c r="B424" s="20" t="s">
        <v>3025</v>
      </c>
      <c r="C424" s="21">
        <v>0.066</v>
      </c>
      <c r="D424" s="21">
        <v>0.215</v>
      </c>
      <c r="E424" s="21">
        <v>0.066</v>
      </c>
      <c r="F424" s="22">
        <v>5.0</v>
      </c>
      <c r="G424" s="23"/>
      <c r="H424" s="24" t="s">
        <v>3018</v>
      </c>
      <c r="I424" s="21" t="s">
        <v>3019</v>
      </c>
      <c r="J424" s="20" t="s">
        <v>145</v>
      </c>
      <c r="K424" s="24" t="s">
        <v>3026</v>
      </c>
      <c r="L424" s="20" t="s">
        <v>3027</v>
      </c>
      <c r="M424" s="25" t="s">
        <v>3028</v>
      </c>
      <c r="N424" s="26" t="s">
        <v>28</v>
      </c>
      <c r="O424" s="24" t="s">
        <v>149</v>
      </c>
      <c r="P424" s="24" t="s">
        <v>150</v>
      </c>
      <c r="Q424" s="27"/>
      <c r="R424" s="27"/>
      <c r="S424" s="28" t="s">
        <v>3029</v>
      </c>
      <c r="T424" s="8" t="s">
        <v>3030</v>
      </c>
      <c r="U424" s="29" t="s">
        <v>3019</v>
      </c>
      <c r="V424" s="24" t="str">
        <f>iferror(VLOOKUP(A424,'tagging table'!A:G,7,0),"")</f>
        <v>Drinks</v>
      </c>
    </row>
    <row r="425">
      <c r="A425" s="30">
        <v>7.29000233149E12</v>
      </c>
      <c r="B425" s="20" t="s">
        <v>3031</v>
      </c>
      <c r="C425" s="21">
        <v>0.0868</v>
      </c>
      <c r="D425" s="21">
        <v>0.244</v>
      </c>
      <c r="E425" s="21">
        <v>0.0868</v>
      </c>
      <c r="F425" s="22">
        <v>3.0</v>
      </c>
      <c r="G425" s="23"/>
      <c r="H425" s="24" t="s">
        <v>3032</v>
      </c>
      <c r="I425" s="21" t="s">
        <v>3033</v>
      </c>
      <c r="J425" s="20" t="s">
        <v>133</v>
      </c>
      <c r="K425" s="24" t="s">
        <v>3034</v>
      </c>
      <c r="L425" s="20" t="s">
        <v>3035</v>
      </c>
      <c r="M425" s="25" t="s">
        <v>3036</v>
      </c>
      <c r="N425" s="26" t="s">
        <v>37</v>
      </c>
      <c r="O425" s="24" t="s">
        <v>137</v>
      </c>
      <c r="P425" s="24" t="s">
        <v>138</v>
      </c>
      <c r="Q425" s="27"/>
      <c r="R425" s="27"/>
      <c r="S425" s="28" t="s">
        <v>3037</v>
      </c>
      <c r="T425" s="8" t="s">
        <v>3038</v>
      </c>
      <c r="U425" s="29" t="e">
        <v>#N/A</v>
      </c>
      <c r="V425" s="21" t="s">
        <v>573</v>
      </c>
    </row>
    <row r="426">
      <c r="A426" s="30">
        <v>7.290002331162E12</v>
      </c>
      <c r="B426" s="20" t="s">
        <v>3039</v>
      </c>
      <c r="C426" s="21">
        <v>0.087</v>
      </c>
      <c r="D426" s="21">
        <v>0.34</v>
      </c>
      <c r="E426" s="21">
        <v>0.085</v>
      </c>
      <c r="F426" s="22">
        <v>4.0</v>
      </c>
      <c r="G426" s="23"/>
      <c r="H426" s="24" t="s">
        <v>3032</v>
      </c>
      <c r="I426" s="21" t="s">
        <v>3033</v>
      </c>
      <c r="J426" s="20" t="s">
        <v>133</v>
      </c>
      <c r="K426" s="24" t="s">
        <v>3040</v>
      </c>
      <c r="L426" s="20" t="s">
        <v>3041</v>
      </c>
      <c r="M426" s="25" t="s">
        <v>3042</v>
      </c>
      <c r="N426" s="26" t="s">
        <v>37</v>
      </c>
      <c r="O426" s="24" t="s">
        <v>137</v>
      </c>
      <c r="P426" s="24" t="s">
        <v>138</v>
      </c>
      <c r="Q426" s="27"/>
      <c r="R426" s="27"/>
      <c r="S426" s="28" t="s">
        <v>3043</v>
      </c>
      <c r="T426" s="33" t="s">
        <v>3044</v>
      </c>
      <c r="U426" s="29" t="e">
        <v>#N/A</v>
      </c>
      <c r="V426" s="21" t="s">
        <v>573</v>
      </c>
    </row>
    <row r="427">
      <c r="A427" s="30">
        <v>7.290002331018E12</v>
      </c>
      <c r="B427" s="20" t="s">
        <v>3045</v>
      </c>
      <c r="C427" s="21">
        <v>0.068</v>
      </c>
      <c r="D427" s="21">
        <v>0.2</v>
      </c>
      <c r="E427" s="21">
        <v>0.068</v>
      </c>
      <c r="F427" s="22">
        <v>4.0</v>
      </c>
      <c r="G427" s="23"/>
      <c r="H427" s="24" t="s">
        <v>3032</v>
      </c>
      <c r="I427" s="21" t="s">
        <v>3033</v>
      </c>
      <c r="J427" s="20" t="s">
        <v>133</v>
      </c>
      <c r="K427" s="24" t="s">
        <v>3046</v>
      </c>
      <c r="L427" s="20" t="s">
        <v>3047</v>
      </c>
      <c r="M427" s="25" t="s">
        <v>3048</v>
      </c>
      <c r="N427" s="26" t="s">
        <v>37</v>
      </c>
      <c r="O427" s="24" t="s">
        <v>137</v>
      </c>
      <c r="P427" s="24" t="s">
        <v>2663</v>
      </c>
      <c r="Q427" s="27"/>
      <c r="R427" s="27"/>
      <c r="S427" s="31" t="s">
        <v>3049</v>
      </c>
      <c r="T427" s="8" t="s">
        <v>3050</v>
      </c>
      <c r="U427" s="29" t="e">
        <v>#N/A</v>
      </c>
      <c r="V427" s="21" t="s">
        <v>573</v>
      </c>
    </row>
    <row r="428">
      <c r="A428" s="30">
        <v>7.290002331025E12</v>
      </c>
      <c r="B428" s="20" t="s">
        <v>3051</v>
      </c>
      <c r="C428" s="21">
        <v>0.065</v>
      </c>
      <c r="D428" s="21">
        <v>0.23</v>
      </c>
      <c r="E428" s="21">
        <v>0.065</v>
      </c>
      <c r="F428" s="22">
        <v>5.0</v>
      </c>
      <c r="G428" s="23"/>
      <c r="H428" s="24" t="s">
        <v>3032</v>
      </c>
      <c r="I428" s="21" t="s">
        <v>3033</v>
      </c>
      <c r="J428" s="20" t="s">
        <v>133</v>
      </c>
      <c r="K428" s="24" t="s">
        <v>3052</v>
      </c>
      <c r="L428" s="20" t="s">
        <v>3053</v>
      </c>
      <c r="M428" s="25" t="s">
        <v>3054</v>
      </c>
      <c r="N428" s="26" t="s">
        <v>37</v>
      </c>
      <c r="O428" s="24" t="s">
        <v>137</v>
      </c>
      <c r="P428" s="24" t="s">
        <v>2663</v>
      </c>
      <c r="Q428" s="27"/>
      <c r="R428" s="27"/>
      <c r="S428" s="28" t="s">
        <v>3055</v>
      </c>
      <c r="T428" s="8" t="s">
        <v>3056</v>
      </c>
      <c r="U428" s="29" t="e">
        <v>#N/A</v>
      </c>
      <c r="V428" s="21" t="s">
        <v>573</v>
      </c>
    </row>
    <row r="429">
      <c r="A429" s="30">
        <v>7.290002331124E12</v>
      </c>
      <c r="B429" s="20" t="s">
        <v>3057</v>
      </c>
      <c r="C429" s="21">
        <v>0.068</v>
      </c>
      <c r="D429" s="21">
        <v>0.2</v>
      </c>
      <c r="E429" s="21">
        <v>0.068</v>
      </c>
      <c r="F429" s="22">
        <v>4.0</v>
      </c>
      <c r="G429" s="23"/>
      <c r="H429" s="24" t="s">
        <v>3058</v>
      </c>
      <c r="I429" s="21" t="s">
        <v>3059</v>
      </c>
      <c r="J429" s="20" t="s">
        <v>3060</v>
      </c>
      <c r="K429" s="24" t="s">
        <v>3061</v>
      </c>
      <c r="L429" s="20" t="s">
        <v>3062</v>
      </c>
      <c r="M429" s="25" t="s">
        <v>3063</v>
      </c>
      <c r="N429" s="26" t="s">
        <v>37</v>
      </c>
      <c r="O429" s="24" t="s">
        <v>3064</v>
      </c>
      <c r="P429" s="24" t="s">
        <v>3065</v>
      </c>
      <c r="Q429" s="27"/>
      <c r="R429" s="27"/>
      <c r="S429" s="28" t="s">
        <v>3066</v>
      </c>
      <c r="T429" s="33" t="s">
        <v>3067</v>
      </c>
      <c r="U429" s="29" t="e">
        <v>#N/A</v>
      </c>
      <c r="V429" s="21" t="s">
        <v>573</v>
      </c>
    </row>
    <row r="430">
      <c r="A430" s="30">
        <v>7.290002331155E12</v>
      </c>
      <c r="B430" s="20" t="s">
        <v>3068</v>
      </c>
      <c r="C430" s="21">
        <v>0.068</v>
      </c>
      <c r="D430" s="21">
        <v>0.2</v>
      </c>
      <c r="E430" s="21">
        <v>0.068</v>
      </c>
      <c r="F430" s="22">
        <v>4.0</v>
      </c>
      <c r="G430" s="23"/>
      <c r="H430" s="24" t="s">
        <v>3058</v>
      </c>
      <c r="I430" s="21" t="s">
        <v>3059</v>
      </c>
      <c r="J430" s="20" t="s">
        <v>3060</v>
      </c>
      <c r="K430" s="24" t="s">
        <v>3069</v>
      </c>
      <c r="L430" s="20" t="s">
        <v>3070</v>
      </c>
      <c r="M430" s="25" t="s">
        <v>3071</v>
      </c>
      <c r="N430" s="26" t="s">
        <v>37</v>
      </c>
      <c r="O430" s="24" t="s">
        <v>3064</v>
      </c>
      <c r="P430" s="24" t="s">
        <v>3065</v>
      </c>
      <c r="Q430" s="27"/>
      <c r="R430" s="27"/>
      <c r="S430" s="28" t="s">
        <v>3072</v>
      </c>
      <c r="T430" s="8" t="s">
        <v>3073</v>
      </c>
      <c r="U430" s="29" t="e">
        <v>#N/A</v>
      </c>
      <c r="V430" s="21" t="s">
        <v>573</v>
      </c>
    </row>
    <row r="431">
      <c r="A431" s="30">
        <v>7.290002331148E12</v>
      </c>
      <c r="B431" s="20" t="s">
        <v>3074</v>
      </c>
      <c r="C431" s="21">
        <v>0.095</v>
      </c>
      <c r="D431" s="21">
        <v>0.3</v>
      </c>
      <c r="E431" s="21">
        <v>0.095</v>
      </c>
      <c r="F431" s="22">
        <v>3.0</v>
      </c>
      <c r="G431" s="23"/>
      <c r="H431" s="24" t="s">
        <v>3058</v>
      </c>
      <c r="I431" s="21" t="s">
        <v>3059</v>
      </c>
      <c r="J431" s="20" t="s">
        <v>3060</v>
      </c>
      <c r="K431" s="24" t="s">
        <v>3075</v>
      </c>
      <c r="L431" s="20" t="s">
        <v>3076</v>
      </c>
      <c r="M431" s="25" t="s">
        <v>3077</v>
      </c>
      <c r="N431" s="26" t="s">
        <v>37</v>
      </c>
      <c r="O431" s="24" t="s">
        <v>3064</v>
      </c>
      <c r="P431" s="24" t="s">
        <v>3078</v>
      </c>
      <c r="Q431" s="27"/>
      <c r="R431" s="27"/>
      <c r="S431" s="28" t="s">
        <v>3079</v>
      </c>
      <c r="T431" s="8" t="s">
        <v>3080</v>
      </c>
      <c r="U431" s="29" t="e">
        <v>#N/A</v>
      </c>
      <c r="V431" s="21" t="s">
        <v>573</v>
      </c>
    </row>
    <row r="432">
      <c r="A432" s="30">
        <v>7.290002331117E12</v>
      </c>
      <c r="B432" s="20" t="s">
        <v>3081</v>
      </c>
      <c r="C432" s="21">
        <v>0.095</v>
      </c>
      <c r="D432" s="21">
        <v>0.3</v>
      </c>
      <c r="E432" s="21">
        <v>0.095</v>
      </c>
      <c r="F432" s="22">
        <v>3.0</v>
      </c>
      <c r="G432" s="23"/>
      <c r="H432" s="24" t="s">
        <v>3058</v>
      </c>
      <c r="I432" s="21" t="s">
        <v>3059</v>
      </c>
      <c r="J432" s="20" t="s">
        <v>3060</v>
      </c>
      <c r="K432" s="24" t="s">
        <v>3082</v>
      </c>
      <c r="L432" s="20" t="s">
        <v>3083</v>
      </c>
      <c r="M432" s="25" t="s">
        <v>3084</v>
      </c>
      <c r="N432" s="26" t="s">
        <v>37</v>
      </c>
      <c r="O432" s="24" t="s">
        <v>3064</v>
      </c>
      <c r="P432" s="24" t="s">
        <v>3078</v>
      </c>
      <c r="Q432" s="27"/>
      <c r="R432" s="27"/>
      <c r="S432" s="28" t="s">
        <v>3085</v>
      </c>
      <c r="T432" s="8" t="s">
        <v>3086</v>
      </c>
      <c r="U432" s="29" t="e">
        <v>#N/A</v>
      </c>
      <c r="V432" s="21" t="s">
        <v>573</v>
      </c>
    </row>
    <row r="433">
      <c r="A433" s="30">
        <v>7.290002331179E12</v>
      </c>
      <c r="B433" s="20" t="s">
        <v>3087</v>
      </c>
      <c r="C433" s="21">
        <v>0.095</v>
      </c>
      <c r="D433" s="21">
        <v>0.3</v>
      </c>
      <c r="E433" s="21">
        <v>0.095</v>
      </c>
      <c r="F433" s="22">
        <v>3.0</v>
      </c>
      <c r="G433" s="23"/>
      <c r="H433" s="24" t="s">
        <v>3058</v>
      </c>
      <c r="I433" s="21" t="s">
        <v>3059</v>
      </c>
      <c r="J433" s="20" t="s">
        <v>3060</v>
      </c>
      <c r="K433" s="24" t="s">
        <v>3088</v>
      </c>
      <c r="L433" s="20" t="s">
        <v>3089</v>
      </c>
      <c r="M433" s="25" t="s">
        <v>3090</v>
      </c>
      <c r="N433" s="26" t="s">
        <v>37</v>
      </c>
      <c r="O433" s="24" t="s">
        <v>3064</v>
      </c>
      <c r="P433" s="24" t="s">
        <v>3078</v>
      </c>
      <c r="Q433" s="27"/>
      <c r="R433" s="27"/>
      <c r="S433" s="28" t="s">
        <v>3091</v>
      </c>
      <c r="T433" s="8" t="s">
        <v>3092</v>
      </c>
      <c r="U433" s="29" t="e">
        <v>#N/A</v>
      </c>
      <c r="V433" s="21" t="s">
        <v>573</v>
      </c>
    </row>
    <row r="434">
      <c r="A434" s="30">
        <v>7.290015493208E12</v>
      </c>
      <c r="B434" s="20" t="s">
        <v>3093</v>
      </c>
      <c r="C434" s="21">
        <v>0.068</v>
      </c>
      <c r="D434" s="21">
        <v>0.2</v>
      </c>
      <c r="E434" s="21">
        <v>0.068</v>
      </c>
      <c r="F434" s="22">
        <v>4.0</v>
      </c>
      <c r="G434" s="23"/>
      <c r="H434" s="24" t="s">
        <v>3058</v>
      </c>
      <c r="I434" s="21" t="s">
        <v>3059</v>
      </c>
      <c r="J434" s="20" t="s">
        <v>3060</v>
      </c>
      <c r="K434" s="24" t="s">
        <v>3094</v>
      </c>
      <c r="L434" s="20" t="s">
        <v>3095</v>
      </c>
      <c r="M434" s="25" t="s">
        <v>3096</v>
      </c>
      <c r="N434" s="26" t="s">
        <v>28</v>
      </c>
      <c r="O434" s="24" t="s">
        <v>3064</v>
      </c>
      <c r="P434" s="24" t="s">
        <v>3065</v>
      </c>
      <c r="Q434" s="27"/>
      <c r="R434" s="27"/>
      <c r="S434" s="28" t="s">
        <v>3097</v>
      </c>
      <c r="T434" s="8" t="s">
        <v>3098</v>
      </c>
      <c r="U434" s="29" t="s">
        <v>3099</v>
      </c>
      <c r="V434" s="24" t="str">
        <f>iferror(VLOOKUP(A434,'tagging table'!A:G,7,0),"")</f>
        <v>Drinks</v>
      </c>
    </row>
    <row r="435">
      <c r="A435" s="30">
        <v>7.290015493192E12</v>
      </c>
      <c r="B435" s="20" t="s">
        <v>3100</v>
      </c>
      <c r="C435" s="21">
        <v>0.068</v>
      </c>
      <c r="D435" s="21">
        <v>0.2</v>
      </c>
      <c r="E435" s="21">
        <v>0.068</v>
      </c>
      <c r="F435" s="22">
        <v>4.0</v>
      </c>
      <c r="G435" s="23"/>
      <c r="H435" s="24" t="s">
        <v>3058</v>
      </c>
      <c r="I435" s="21" t="s">
        <v>3059</v>
      </c>
      <c r="J435" s="20" t="s">
        <v>3060</v>
      </c>
      <c r="K435" s="24" t="s">
        <v>3101</v>
      </c>
      <c r="L435" s="20" t="s">
        <v>3102</v>
      </c>
      <c r="M435" s="25" t="s">
        <v>3103</v>
      </c>
      <c r="N435" s="26" t="s">
        <v>28</v>
      </c>
      <c r="O435" s="24" t="s">
        <v>3064</v>
      </c>
      <c r="P435" s="24" t="s">
        <v>3065</v>
      </c>
      <c r="Q435" s="27"/>
      <c r="R435" s="27"/>
      <c r="S435" s="31" t="s">
        <v>3104</v>
      </c>
      <c r="T435" s="33" t="s">
        <v>3105</v>
      </c>
      <c r="U435" s="29" t="s">
        <v>3099</v>
      </c>
      <c r="V435" s="24" t="str">
        <f>iferror(VLOOKUP(A435,'tagging table'!A:G,7,0),"")</f>
        <v>Drinks</v>
      </c>
    </row>
    <row r="436">
      <c r="A436" s="30">
        <v>7.290002331711E12</v>
      </c>
      <c r="B436" s="20" t="s">
        <v>3106</v>
      </c>
      <c r="C436" s="21">
        <v>0.068</v>
      </c>
      <c r="D436" s="21">
        <v>0.2</v>
      </c>
      <c r="E436" s="21">
        <v>0.068</v>
      </c>
      <c r="F436" s="22">
        <v>4.0</v>
      </c>
      <c r="G436" s="23"/>
      <c r="H436" s="24" t="s">
        <v>3058</v>
      </c>
      <c r="I436" s="21" t="s">
        <v>3059</v>
      </c>
      <c r="J436" s="20" t="s">
        <v>3060</v>
      </c>
      <c r="K436" s="24" t="s">
        <v>3107</v>
      </c>
      <c r="L436" s="20" t="s">
        <v>3108</v>
      </c>
      <c r="M436" s="25" t="s">
        <v>3109</v>
      </c>
      <c r="N436" s="26" t="s">
        <v>37</v>
      </c>
      <c r="O436" s="24" t="s">
        <v>3064</v>
      </c>
      <c r="P436" s="24" t="s">
        <v>3065</v>
      </c>
      <c r="Q436" s="27"/>
      <c r="R436" s="27"/>
      <c r="S436" s="31" t="s">
        <v>3110</v>
      </c>
      <c r="T436" s="8" t="s">
        <v>3111</v>
      </c>
      <c r="U436" s="29" t="e">
        <v>#N/A</v>
      </c>
      <c r="V436" s="21" t="s">
        <v>573</v>
      </c>
    </row>
    <row r="437">
      <c r="A437" s="30">
        <v>7.290112497932E12</v>
      </c>
      <c r="B437" s="20" t="s">
        <v>3112</v>
      </c>
      <c r="C437" s="21">
        <v>0.115</v>
      </c>
      <c r="D437" s="21">
        <v>0.16</v>
      </c>
      <c r="E437" s="21">
        <v>0.06</v>
      </c>
      <c r="F437" s="22">
        <v>5.0</v>
      </c>
      <c r="G437" s="23"/>
      <c r="H437" s="24" t="s">
        <v>3113</v>
      </c>
      <c r="I437" s="21" t="s">
        <v>3114</v>
      </c>
      <c r="J437" s="24"/>
      <c r="K437" s="24" t="s">
        <v>3115</v>
      </c>
      <c r="L437" s="20" t="s">
        <v>3116</v>
      </c>
      <c r="M437" s="25" t="s">
        <v>3117</v>
      </c>
      <c r="N437" s="26" t="s">
        <v>28</v>
      </c>
      <c r="O437" s="24" t="s">
        <v>3118</v>
      </c>
      <c r="P437" s="24" t="s">
        <v>3119</v>
      </c>
      <c r="Q437" s="27"/>
      <c r="R437" s="27"/>
      <c r="S437" s="31" t="s">
        <v>3120</v>
      </c>
      <c r="T437" s="33" t="s">
        <v>3117</v>
      </c>
      <c r="U437" s="29" t="s">
        <v>3114</v>
      </c>
      <c r="V437" s="21" t="s">
        <v>32</v>
      </c>
    </row>
    <row r="438">
      <c r="A438" s="30">
        <v>7.290011308858E12</v>
      </c>
      <c r="B438" s="20" t="s">
        <v>3121</v>
      </c>
      <c r="C438" s="21">
        <v>0.115</v>
      </c>
      <c r="D438" s="21">
        <v>0.16</v>
      </c>
      <c r="E438" s="21">
        <v>0.05</v>
      </c>
      <c r="F438" s="22">
        <v>6.0</v>
      </c>
      <c r="G438" s="23"/>
      <c r="H438" s="24" t="s">
        <v>3113</v>
      </c>
      <c r="I438" s="21" t="s">
        <v>3114</v>
      </c>
      <c r="J438" s="24"/>
      <c r="K438" s="24" t="s">
        <v>3122</v>
      </c>
      <c r="L438" s="20" t="s">
        <v>3123</v>
      </c>
      <c r="M438" s="25" t="s">
        <v>3124</v>
      </c>
      <c r="N438" s="26" t="s">
        <v>28</v>
      </c>
      <c r="O438" s="24" t="s">
        <v>3118</v>
      </c>
      <c r="P438" s="24" t="s">
        <v>3119</v>
      </c>
      <c r="Q438" s="27"/>
      <c r="R438" s="27"/>
      <c r="S438" s="31" t="s">
        <v>3125</v>
      </c>
      <c r="T438" s="33" t="s">
        <v>3124</v>
      </c>
      <c r="U438" s="29" t="s">
        <v>3114</v>
      </c>
      <c r="V438" s="21" t="s">
        <v>32</v>
      </c>
    </row>
    <row r="439">
      <c r="A439" s="30">
        <v>7.290112349262E12</v>
      </c>
      <c r="B439" s="20" t="s">
        <v>3126</v>
      </c>
      <c r="C439" s="21">
        <v>0.07</v>
      </c>
      <c r="D439" s="21">
        <v>0.105</v>
      </c>
      <c r="E439" s="21">
        <v>0.05</v>
      </c>
      <c r="F439" s="22">
        <v>6.0</v>
      </c>
      <c r="G439" s="23"/>
      <c r="H439" s="24" t="s">
        <v>2070</v>
      </c>
      <c r="I439" s="21" t="s">
        <v>2071</v>
      </c>
      <c r="J439" s="21" t="s">
        <v>725</v>
      </c>
      <c r="K439" s="24" t="s">
        <v>3127</v>
      </c>
      <c r="L439" s="20" t="s">
        <v>3128</v>
      </c>
      <c r="M439" s="25" t="s">
        <v>3129</v>
      </c>
      <c r="N439" s="26" t="s">
        <v>28</v>
      </c>
      <c r="O439" s="24" t="s">
        <v>501</v>
      </c>
      <c r="P439" s="24" t="s">
        <v>729</v>
      </c>
      <c r="Q439" s="27"/>
      <c r="R439" s="27"/>
      <c r="S439" s="28" t="s">
        <v>3130</v>
      </c>
      <c r="T439" s="8" t="s">
        <v>3131</v>
      </c>
      <c r="U439" s="29" t="s">
        <v>2077</v>
      </c>
      <c r="V439" s="24" t="str">
        <f>iferror(VLOOKUP(A439,'tagging table'!A:G,7,0),"")</f>
        <v>Sweets</v>
      </c>
    </row>
    <row r="440">
      <c r="A440" s="30">
        <v>7.290112349255E12</v>
      </c>
      <c r="B440" s="20" t="s">
        <v>3132</v>
      </c>
      <c r="C440" s="21">
        <v>0.07</v>
      </c>
      <c r="D440" s="21">
        <v>0.105</v>
      </c>
      <c r="E440" s="21">
        <v>0.05</v>
      </c>
      <c r="F440" s="22">
        <v>6.0</v>
      </c>
      <c r="G440" s="23"/>
      <c r="H440" s="32" t="s">
        <v>2070</v>
      </c>
      <c r="I440" s="34" t="s">
        <v>2071</v>
      </c>
      <c r="J440" s="21" t="s">
        <v>725</v>
      </c>
      <c r="K440" s="24" t="s">
        <v>3133</v>
      </c>
      <c r="L440" s="20" t="s">
        <v>3134</v>
      </c>
      <c r="M440" s="25" t="s">
        <v>3135</v>
      </c>
      <c r="N440" s="26" t="s">
        <v>28</v>
      </c>
      <c r="O440" s="24" t="s">
        <v>501</v>
      </c>
      <c r="P440" s="24" t="s">
        <v>729</v>
      </c>
      <c r="Q440" s="27"/>
      <c r="R440" s="27"/>
      <c r="S440" s="28" t="s">
        <v>3136</v>
      </c>
      <c r="T440" s="8" t="s">
        <v>3137</v>
      </c>
      <c r="U440" s="29" t="s">
        <v>2077</v>
      </c>
      <c r="V440" s="24" t="str">
        <f>iferror(VLOOKUP(A440,'tagging table'!A:G,7,0),"")</f>
        <v>Sweets</v>
      </c>
    </row>
    <row r="441">
      <c r="A441" s="30">
        <v>7.290106662964E12</v>
      </c>
      <c r="B441" s="20" t="s">
        <v>3138</v>
      </c>
      <c r="C441" s="21">
        <v>0.09999999</v>
      </c>
      <c r="D441" s="21">
        <v>0.14</v>
      </c>
      <c r="E441" s="21">
        <v>0.015</v>
      </c>
      <c r="F441" s="22">
        <v>20.0</v>
      </c>
      <c r="G441" s="23"/>
      <c r="H441" s="24" t="s">
        <v>3139</v>
      </c>
      <c r="I441" s="21" t="s">
        <v>3140</v>
      </c>
      <c r="J441" s="21" t="s">
        <v>1446</v>
      </c>
      <c r="K441" s="24" t="s">
        <v>3141</v>
      </c>
      <c r="L441" s="20" t="s">
        <v>3142</v>
      </c>
      <c r="M441" s="25" t="s">
        <v>3143</v>
      </c>
      <c r="N441" s="26" t="s">
        <v>28</v>
      </c>
      <c r="O441" s="24" t="s">
        <v>3144</v>
      </c>
      <c r="P441" s="24" t="s">
        <v>3145</v>
      </c>
      <c r="Q441" s="27"/>
      <c r="R441" s="27"/>
      <c r="S441" s="31" t="s">
        <v>3146</v>
      </c>
      <c r="T441" s="8" t="s">
        <v>3147</v>
      </c>
      <c r="U441" s="29" t="s">
        <v>3148</v>
      </c>
      <c r="V441" s="24" t="str">
        <f>iferror(VLOOKUP(A441,'tagging table'!A:G,7,0),"")</f>
        <v>Sweets</v>
      </c>
    </row>
    <row r="442">
      <c r="A442" s="30">
        <v>8.69012006017E12</v>
      </c>
      <c r="B442" s="20" t="s">
        <v>3149</v>
      </c>
      <c r="C442" s="21">
        <v>0.11</v>
      </c>
      <c r="D442" s="21">
        <v>0.03</v>
      </c>
      <c r="E442" s="21">
        <v>0.02</v>
      </c>
      <c r="F442" s="22">
        <v>15.0</v>
      </c>
      <c r="G442" s="23"/>
      <c r="H442" s="24" t="s">
        <v>3150</v>
      </c>
      <c r="I442" s="21" t="s">
        <v>3151</v>
      </c>
      <c r="J442" s="24"/>
      <c r="K442" s="24" t="s">
        <v>3152</v>
      </c>
      <c r="L442" s="20" t="s">
        <v>3153</v>
      </c>
      <c r="M442" s="25" t="s">
        <v>3154</v>
      </c>
      <c r="N442" s="26" t="s">
        <v>28</v>
      </c>
      <c r="O442" s="24" t="s">
        <v>501</v>
      </c>
      <c r="P442" s="24" t="s">
        <v>502</v>
      </c>
      <c r="Q442" s="27"/>
      <c r="R442" s="27"/>
      <c r="S442" s="31" t="s">
        <v>3155</v>
      </c>
      <c r="T442" s="33" t="s">
        <v>3156</v>
      </c>
      <c r="U442" s="29" t="s">
        <v>3157</v>
      </c>
      <c r="V442" s="24" t="str">
        <f>iferror(VLOOKUP(A442,'tagging table'!A:G,7,0),"")</f>
        <v>Cashiers</v>
      </c>
    </row>
    <row r="443">
      <c r="A443" s="30">
        <v>8.000500227848E12</v>
      </c>
      <c r="B443" s="20" t="s">
        <v>3158</v>
      </c>
      <c r="C443" s="21">
        <v>0.132</v>
      </c>
      <c r="D443" s="21">
        <v>0.161</v>
      </c>
      <c r="E443" s="21">
        <v>0.045</v>
      </c>
      <c r="F443" s="22">
        <v>7.0</v>
      </c>
      <c r="G443" s="23"/>
      <c r="H443" s="24" t="s">
        <v>3159</v>
      </c>
      <c r="I443" s="21" t="s">
        <v>3160</v>
      </c>
      <c r="J443" s="21" t="s">
        <v>2122</v>
      </c>
      <c r="K443" s="24" t="s">
        <v>3161</v>
      </c>
      <c r="L443" s="20" t="s">
        <v>3162</v>
      </c>
      <c r="M443" s="25" t="s">
        <v>3163</v>
      </c>
      <c r="N443" s="26" t="s">
        <v>28</v>
      </c>
      <c r="O443" s="24" t="s">
        <v>2364</v>
      </c>
      <c r="P443" s="24" t="s">
        <v>3164</v>
      </c>
      <c r="Q443" s="27"/>
      <c r="R443" s="27"/>
      <c r="S443" s="28" t="s">
        <v>3165</v>
      </c>
      <c r="T443" s="8" t="s">
        <v>3166</v>
      </c>
      <c r="U443" s="29" t="s">
        <v>3167</v>
      </c>
      <c r="V443" s="24" t="str">
        <f>iferror(VLOOKUP(A443,'tagging table'!A:G,7,0),"")</f>
        <v>Sweets</v>
      </c>
    </row>
    <row r="444">
      <c r="A444" s="30">
        <v>7.622210638021E12</v>
      </c>
      <c r="B444" s="20" t="s">
        <v>3168</v>
      </c>
      <c r="C444" s="21">
        <v>0.14</v>
      </c>
      <c r="D444" s="21">
        <v>0.17</v>
      </c>
      <c r="E444" s="21">
        <v>0.035</v>
      </c>
      <c r="F444" s="22">
        <v>9.0</v>
      </c>
      <c r="G444" s="23"/>
      <c r="H444" s="24" t="s">
        <v>3169</v>
      </c>
      <c r="I444" s="21" t="s">
        <v>3170</v>
      </c>
      <c r="J444" s="35" t="s">
        <v>3171</v>
      </c>
      <c r="K444" s="36" t="s">
        <v>3172</v>
      </c>
      <c r="L444" s="20" t="s">
        <v>3173</v>
      </c>
      <c r="M444" s="25" t="s">
        <v>3174</v>
      </c>
      <c r="N444" s="26" t="s">
        <v>28</v>
      </c>
      <c r="O444" s="24" t="s">
        <v>2364</v>
      </c>
      <c r="P444" s="24" t="s">
        <v>2739</v>
      </c>
      <c r="Q444" s="27"/>
      <c r="R444" s="27"/>
      <c r="S444" s="28" t="s">
        <v>3175</v>
      </c>
      <c r="T444" s="8" t="s">
        <v>3176</v>
      </c>
      <c r="U444" s="29" t="s">
        <v>3170</v>
      </c>
      <c r="V444" s="24" t="str">
        <f>VLOOKUP(A444,'tagging table'!A:G,7,0)</f>
        <v>Waffles &amp; cookies</v>
      </c>
    </row>
    <row r="445">
      <c r="A445" s="30">
        <v>7.622210637994E12</v>
      </c>
      <c r="B445" s="20" t="s">
        <v>3177</v>
      </c>
      <c r="C445" s="21">
        <v>0.14</v>
      </c>
      <c r="D445" s="21">
        <v>0.17</v>
      </c>
      <c r="E445" s="21">
        <v>0.035</v>
      </c>
      <c r="F445" s="22">
        <v>9.0</v>
      </c>
      <c r="G445" s="23"/>
      <c r="H445" s="24" t="s">
        <v>3169</v>
      </c>
      <c r="I445" s="21" t="s">
        <v>3170</v>
      </c>
      <c r="J445" s="35" t="s">
        <v>3171</v>
      </c>
      <c r="K445" s="36" t="s">
        <v>3178</v>
      </c>
      <c r="L445" s="20" t="s">
        <v>3179</v>
      </c>
      <c r="M445" s="25" t="s">
        <v>3180</v>
      </c>
      <c r="N445" s="26" t="s">
        <v>28</v>
      </c>
      <c r="O445" s="24" t="s">
        <v>2364</v>
      </c>
      <c r="P445" s="24" t="s">
        <v>2739</v>
      </c>
      <c r="Q445" s="27"/>
      <c r="R445" s="27"/>
      <c r="S445" s="31" t="s">
        <v>3181</v>
      </c>
      <c r="T445" s="33" t="s">
        <v>3182</v>
      </c>
      <c r="U445" s="29" t="s">
        <v>3170</v>
      </c>
      <c r="V445" s="24" t="str">
        <f>VLOOKUP(A445,'tagging table'!A:G,7,0)</f>
        <v>Waffles &amp; cookies</v>
      </c>
    </row>
    <row r="446">
      <c r="A446" s="30">
        <v>7.622300761363E12</v>
      </c>
      <c r="B446" s="20" t="s">
        <v>3183</v>
      </c>
      <c r="C446" s="21">
        <v>0.09</v>
      </c>
      <c r="D446" s="21">
        <v>0.11</v>
      </c>
      <c r="E446" s="21">
        <v>0.09</v>
      </c>
      <c r="F446" s="22">
        <v>3.0</v>
      </c>
      <c r="G446" s="23"/>
      <c r="H446" s="24" t="s">
        <v>3169</v>
      </c>
      <c r="I446" s="21" t="s">
        <v>3170</v>
      </c>
      <c r="J446" s="35" t="s">
        <v>3171</v>
      </c>
      <c r="K446" s="36" t="s">
        <v>3184</v>
      </c>
      <c r="L446" s="20" t="s">
        <v>3185</v>
      </c>
      <c r="M446" s="25" t="s">
        <v>3186</v>
      </c>
      <c r="N446" s="26" t="s">
        <v>28</v>
      </c>
      <c r="O446" s="24" t="s">
        <v>2364</v>
      </c>
      <c r="P446" s="24" t="s">
        <v>2739</v>
      </c>
      <c r="Q446" s="27"/>
      <c r="R446" s="27"/>
      <c r="S446" s="31" t="s">
        <v>3187</v>
      </c>
      <c r="T446" s="33" t="s">
        <v>3188</v>
      </c>
      <c r="U446" s="29" t="s">
        <v>3170</v>
      </c>
      <c r="V446" s="24" t="str">
        <f>VLOOKUP(A446,'tagging table'!A:G,7,0)</f>
        <v>Waffles &amp; cookies</v>
      </c>
    </row>
    <row r="447">
      <c r="A447" s="30">
        <v>7.622201127398E12</v>
      </c>
      <c r="B447" s="20" t="s">
        <v>3189</v>
      </c>
      <c r="C447" s="21">
        <v>0.17</v>
      </c>
      <c r="D447" s="21">
        <v>0.2</v>
      </c>
      <c r="E447" s="21">
        <v>0.037</v>
      </c>
      <c r="F447" s="22">
        <v>8.0</v>
      </c>
      <c r="G447" s="23"/>
      <c r="H447" s="24" t="s">
        <v>3169</v>
      </c>
      <c r="I447" s="21" t="s">
        <v>3170</v>
      </c>
      <c r="J447" s="39" t="s">
        <v>3171</v>
      </c>
      <c r="K447" s="24" t="s">
        <v>3190</v>
      </c>
      <c r="L447" s="20" t="s">
        <v>3191</v>
      </c>
      <c r="M447" s="25" t="s">
        <v>3192</v>
      </c>
      <c r="N447" s="26" t="s">
        <v>37</v>
      </c>
      <c r="O447" s="24" t="s">
        <v>2364</v>
      </c>
      <c r="P447" s="24" t="s">
        <v>2647</v>
      </c>
      <c r="Q447" s="27"/>
      <c r="R447" s="27"/>
      <c r="S447" s="28" t="s">
        <v>3193</v>
      </c>
      <c r="T447" s="8" t="s">
        <v>3194</v>
      </c>
      <c r="U447" s="29" t="e">
        <v>#N/A</v>
      </c>
      <c r="V447" s="24" t="s">
        <v>211</v>
      </c>
    </row>
    <row r="448">
      <c r="A448" s="30">
        <v>7.622201127367E12</v>
      </c>
      <c r="B448" s="20" t="s">
        <v>3195</v>
      </c>
      <c r="C448" s="21">
        <v>0.17</v>
      </c>
      <c r="D448" s="21">
        <v>0.2</v>
      </c>
      <c r="E448" s="21">
        <v>0.037</v>
      </c>
      <c r="F448" s="22">
        <v>8.0</v>
      </c>
      <c r="G448" s="23"/>
      <c r="H448" s="24" t="s">
        <v>3169</v>
      </c>
      <c r="I448" s="21" t="s">
        <v>3170</v>
      </c>
      <c r="J448" s="39" t="s">
        <v>3171</v>
      </c>
      <c r="K448" s="24" t="s">
        <v>3196</v>
      </c>
      <c r="L448" s="20" t="s">
        <v>3197</v>
      </c>
      <c r="M448" s="25" t="s">
        <v>3198</v>
      </c>
      <c r="N448" s="26" t="s">
        <v>37</v>
      </c>
      <c r="O448" s="24" t="s">
        <v>2364</v>
      </c>
      <c r="P448" s="24" t="s">
        <v>2647</v>
      </c>
      <c r="Q448" s="27"/>
      <c r="R448" s="27"/>
      <c r="S448" s="28" t="s">
        <v>3199</v>
      </c>
      <c r="T448" s="8" t="s">
        <v>3200</v>
      </c>
      <c r="U448" s="29" t="e">
        <v>#N/A</v>
      </c>
      <c r="V448" s="24" t="s">
        <v>211</v>
      </c>
    </row>
    <row r="449">
      <c r="A449" s="30">
        <v>7.622210835338E12</v>
      </c>
      <c r="B449" s="20" t="s">
        <v>3201</v>
      </c>
      <c r="C449" s="21">
        <v>0.192</v>
      </c>
      <c r="D449" s="21">
        <v>0.11</v>
      </c>
      <c r="E449" s="21">
        <v>0.032</v>
      </c>
      <c r="F449" s="22">
        <v>9.0</v>
      </c>
      <c r="G449" s="23"/>
      <c r="H449" s="24" t="s">
        <v>3169</v>
      </c>
      <c r="I449" s="21" t="s">
        <v>3170</v>
      </c>
      <c r="J449" s="35" t="s">
        <v>3171</v>
      </c>
      <c r="K449" s="36" t="s">
        <v>3202</v>
      </c>
      <c r="L449" s="20" t="s">
        <v>3203</v>
      </c>
      <c r="M449" s="25" t="s">
        <v>3204</v>
      </c>
      <c r="N449" s="26" t="s">
        <v>28</v>
      </c>
      <c r="O449" s="24" t="s">
        <v>2364</v>
      </c>
      <c r="P449" s="24" t="s">
        <v>2739</v>
      </c>
      <c r="Q449" s="27"/>
      <c r="R449" s="27"/>
      <c r="S449" s="28" t="s">
        <v>3205</v>
      </c>
      <c r="T449" s="33" t="s">
        <v>3206</v>
      </c>
      <c r="U449" s="29" t="s">
        <v>3170</v>
      </c>
      <c r="V449" s="24" t="str">
        <f>VLOOKUP(A449,'tagging table'!A:G,7,0)</f>
        <v>Waffles &amp; cookies</v>
      </c>
    </row>
    <row r="450">
      <c r="A450" s="30">
        <v>7.622210874351E12</v>
      </c>
      <c r="B450" s="20" t="s">
        <v>3207</v>
      </c>
      <c r="C450" s="21">
        <v>0.09</v>
      </c>
      <c r="D450" s="21">
        <v>0.11</v>
      </c>
      <c r="E450" s="21">
        <v>0.09</v>
      </c>
      <c r="F450" s="22">
        <v>3.0</v>
      </c>
      <c r="G450" s="23"/>
      <c r="H450" s="24" t="s">
        <v>3169</v>
      </c>
      <c r="I450" s="21" t="s">
        <v>3170</v>
      </c>
      <c r="J450" s="39" t="s">
        <v>3171</v>
      </c>
      <c r="K450" s="24" t="s">
        <v>3208</v>
      </c>
      <c r="L450" s="20" t="s">
        <v>3209</v>
      </c>
      <c r="M450" s="25" t="s">
        <v>3210</v>
      </c>
      <c r="N450" s="26" t="s">
        <v>28</v>
      </c>
      <c r="O450" s="24" t="s">
        <v>2364</v>
      </c>
      <c r="P450" s="24" t="s">
        <v>2739</v>
      </c>
      <c r="Q450" s="27"/>
      <c r="R450" s="27"/>
      <c r="S450" s="31" t="s">
        <v>3211</v>
      </c>
      <c r="T450" s="33" t="s">
        <v>3212</v>
      </c>
      <c r="U450" s="29" t="s">
        <v>3170</v>
      </c>
      <c r="V450" s="24" t="str">
        <f>VLOOKUP(A450,'tagging table'!A:G,7,0)</f>
        <v>Waffles &amp; cookies</v>
      </c>
    </row>
    <row r="451">
      <c r="A451" s="30">
        <v>7.622210829108E12</v>
      </c>
      <c r="B451" s="20" t="s">
        <v>3213</v>
      </c>
      <c r="C451" s="21">
        <v>0.045</v>
      </c>
      <c r="D451" s="21">
        <v>0.195</v>
      </c>
      <c r="E451" s="21">
        <v>0.055</v>
      </c>
      <c r="F451" s="22">
        <v>5.0</v>
      </c>
      <c r="G451" s="23"/>
      <c r="H451" s="24" t="s">
        <v>3169</v>
      </c>
      <c r="I451" s="21" t="s">
        <v>3170</v>
      </c>
      <c r="J451" s="35" t="s">
        <v>3171</v>
      </c>
      <c r="K451" s="36" t="s">
        <v>3214</v>
      </c>
      <c r="L451" s="20" t="s">
        <v>3215</v>
      </c>
      <c r="M451" s="25" t="s">
        <v>3216</v>
      </c>
      <c r="N451" s="26" t="s">
        <v>28</v>
      </c>
      <c r="O451" s="24" t="s">
        <v>2364</v>
      </c>
      <c r="P451" s="24" t="s">
        <v>2739</v>
      </c>
      <c r="Q451" s="27"/>
      <c r="R451" s="27"/>
      <c r="S451" s="28" t="s">
        <v>3217</v>
      </c>
      <c r="T451" s="8" t="s">
        <v>3218</v>
      </c>
      <c r="U451" s="29" t="s">
        <v>3170</v>
      </c>
      <c r="V451" s="24" t="str">
        <f>VLOOKUP(A451,'tagging table'!A:G,7,0)</f>
        <v>Waffles &amp; cookies</v>
      </c>
    </row>
    <row r="452">
      <c r="A452" s="30">
        <v>7.622010001858E12</v>
      </c>
      <c r="B452" s="20" t="s">
        <v>3219</v>
      </c>
      <c r="C452" s="21">
        <v>0.192</v>
      </c>
      <c r="D452" s="21">
        <v>0.11</v>
      </c>
      <c r="E452" s="21">
        <v>0.032</v>
      </c>
      <c r="F452" s="22">
        <v>9.0</v>
      </c>
      <c r="G452" s="23"/>
      <c r="H452" s="24" t="s">
        <v>3169</v>
      </c>
      <c r="I452" s="21" t="s">
        <v>3170</v>
      </c>
      <c r="J452" s="35" t="s">
        <v>3171</v>
      </c>
      <c r="K452" s="36" t="s">
        <v>3220</v>
      </c>
      <c r="L452" s="20" t="s">
        <v>3221</v>
      </c>
      <c r="M452" s="25" t="s">
        <v>3222</v>
      </c>
      <c r="N452" s="26" t="s">
        <v>28</v>
      </c>
      <c r="O452" s="24" t="s">
        <v>2364</v>
      </c>
      <c r="P452" s="24" t="s">
        <v>2739</v>
      </c>
      <c r="Q452" s="27"/>
      <c r="R452" s="27"/>
      <c r="S452" s="28" t="s">
        <v>3223</v>
      </c>
      <c r="T452" s="8" t="s">
        <v>3224</v>
      </c>
      <c r="U452" s="29" t="s">
        <v>3170</v>
      </c>
      <c r="V452" s="24" t="str">
        <f>VLOOKUP(A452,'tagging table'!A:G,7,0)</f>
        <v>Waffles &amp; cookies</v>
      </c>
    </row>
    <row r="453">
      <c r="A453" s="30">
        <v>7.622210829085E12</v>
      </c>
      <c r="B453" s="20" t="s">
        <v>3225</v>
      </c>
      <c r="C453" s="21">
        <v>0.045</v>
      </c>
      <c r="D453" s="21">
        <v>0.195</v>
      </c>
      <c r="E453" s="21">
        <v>0.055</v>
      </c>
      <c r="F453" s="22">
        <v>5.0</v>
      </c>
      <c r="G453" s="23"/>
      <c r="H453" s="24" t="s">
        <v>3169</v>
      </c>
      <c r="I453" s="21" t="s">
        <v>3170</v>
      </c>
      <c r="J453" s="35" t="s">
        <v>3171</v>
      </c>
      <c r="K453" s="36" t="s">
        <v>3226</v>
      </c>
      <c r="L453" s="20" t="s">
        <v>3227</v>
      </c>
      <c r="M453" s="25" t="s">
        <v>3228</v>
      </c>
      <c r="N453" s="26" t="s">
        <v>28</v>
      </c>
      <c r="O453" s="24" t="s">
        <v>2364</v>
      </c>
      <c r="P453" s="24" t="s">
        <v>2739</v>
      </c>
      <c r="Q453" s="27"/>
      <c r="R453" s="27"/>
      <c r="S453" s="31" t="s">
        <v>3229</v>
      </c>
      <c r="T453" s="33" t="s">
        <v>3230</v>
      </c>
      <c r="U453" s="29" t="s">
        <v>3170</v>
      </c>
      <c r="V453" s="24" t="str">
        <f>VLOOKUP(A453,'tagging table'!A:G,7,0)</f>
        <v>Waffles &amp; cookies</v>
      </c>
    </row>
    <row r="454">
      <c r="A454" s="30">
        <v>7.290008775816E12</v>
      </c>
      <c r="B454" s="20" t="s">
        <v>3231</v>
      </c>
      <c r="C454" s="21">
        <v>0.13</v>
      </c>
      <c r="D454" s="21">
        <v>0.19</v>
      </c>
      <c r="E454" s="21">
        <v>0.055</v>
      </c>
      <c r="F454" s="22">
        <v>5.0</v>
      </c>
      <c r="G454" s="23"/>
      <c r="H454" s="24" t="s">
        <v>3232</v>
      </c>
      <c r="I454" s="21" t="s">
        <v>3233</v>
      </c>
      <c r="J454" s="21" t="s">
        <v>1190</v>
      </c>
      <c r="K454" s="24" t="s">
        <v>3234</v>
      </c>
      <c r="L454" s="20" t="s">
        <v>3235</v>
      </c>
      <c r="M454" s="25" t="s">
        <v>3236</v>
      </c>
      <c r="N454" s="26" t="s">
        <v>37</v>
      </c>
      <c r="O454" s="24" t="s">
        <v>2364</v>
      </c>
      <c r="P454" s="24" t="s">
        <v>3164</v>
      </c>
      <c r="Q454" s="27"/>
      <c r="R454" s="27"/>
      <c r="S454" s="28" t="s">
        <v>3237</v>
      </c>
      <c r="T454" s="8" t="s">
        <v>3238</v>
      </c>
      <c r="U454" s="29" t="e">
        <v>#N/A</v>
      </c>
      <c r="V454" s="21" t="s">
        <v>211</v>
      </c>
    </row>
    <row r="455">
      <c r="A455" s="30">
        <v>7.290008775823E12</v>
      </c>
      <c r="B455" s="20" t="s">
        <v>3239</v>
      </c>
      <c r="C455" s="21">
        <v>0.13</v>
      </c>
      <c r="D455" s="21">
        <v>0.19</v>
      </c>
      <c r="E455" s="21">
        <v>0.055</v>
      </c>
      <c r="F455" s="22">
        <v>5.0</v>
      </c>
      <c r="G455" s="23"/>
      <c r="H455" s="24" t="s">
        <v>3232</v>
      </c>
      <c r="I455" s="21" t="s">
        <v>3233</v>
      </c>
      <c r="J455" s="21" t="s">
        <v>1190</v>
      </c>
      <c r="K455" s="24" t="s">
        <v>3240</v>
      </c>
      <c r="L455" s="20" t="s">
        <v>3241</v>
      </c>
      <c r="M455" s="25" t="s">
        <v>3242</v>
      </c>
      <c r="N455" s="26" t="s">
        <v>37</v>
      </c>
      <c r="O455" s="24" t="s">
        <v>2364</v>
      </c>
      <c r="P455" s="24" t="s">
        <v>3164</v>
      </c>
      <c r="Q455" s="27"/>
      <c r="R455" s="27"/>
      <c r="S455" s="31" t="s">
        <v>3243</v>
      </c>
      <c r="T455" s="8" t="s">
        <v>3244</v>
      </c>
      <c r="U455" s="29" t="e">
        <v>#N/A</v>
      </c>
      <c r="V455" s="21" t="s">
        <v>211</v>
      </c>
    </row>
    <row r="456">
      <c r="A456" s="30">
        <v>7.290000077017E12</v>
      </c>
      <c r="B456" s="20" t="s">
        <v>3245</v>
      </c>
      <c r="C456" s="21">
        <v>0.25</v>
      </c>
      <c r="D456" s="21">
        <v>0.05</v>
      </c>
      <c r="E456" s="21">
        <v>0.06</v>
      </c>
      <c r="F456" s="22">
        <v>5.0</v>
      </c>
      <c r="G456" s="23"/>
      <c r="H456" s="24" t="s">
        <v>3232</v>
      </c>
      <c r="I456" s="21" t="s">
        <v>3233</v>
      </c>
      <c r="J456" s="21" t="s">
        <v>1190</v>
      </c>
      <c r="K456" s="24" t="s">
        <v>3246</v>
      </c>
      <c r="L456" s="20" t="s">
        <v>3247</v>
      </c>
      <c r="M456" s="25" t="s">
        <v>3248</v>
      </c>
      <c r="N456" s="26" t="s">
        <v>37</v>
      </c>
      <c r="O456" s="24" t="s">
        <v>2364</v>
      </c>
      <c r="P456" s="24" t="s">
        <v>3164</v>
      </c>
      <c r="Q456" s="27"/>
      <c r="R456" s="27"/>
      <c r="S456" s="28" t="s">
        <v>3249</v>
      </c>
      <c r="T456" s="8" t="s">
        <v>3250</v>
      </c>
      <c r="U456" s="29" t="e">
        <v>#N/A</v>
      </c>
      <c r="V456" s="21" t="s">
        <v>211</v>
      </c>
    </row>
    <row r="457">
      <c r="A457" s="30">
        <v>7.290000074962E12</v>
      </c>
      <c r="B457" s="20" t="s">
        <v>3251</v>
      </c>
      <c r="C457" s="21">
        <v>0.13</v>
      </c>
      <c r="D457" s="21">
        <v>0.18</v>
      </c>
      <c r="E457" s="21">
        <v>0.065</v>
      </c>
      <c r="F457" s="22">
        <v>5.0</v>
      </c>
      <c r="G457" s="23"/>
      <c r="H457" s="24" t="s">
        <v>3232</v>
      </c>
      <c r="I457" s="21" t="s">
        <v>3233</v>
      </c>
      <c r="J457" s="21" t="s">
        <v>1190</v>
      </c>
      <c r="K457" s="24" t="s">
        <v>3252</v>
      </c>
      <c r="L457" s="20" t="s">
        <v>3253</v>
      </c>
      <c r="M457" s="25" t="s">
        <v>3254</v>
      </c>
      <c r="N457" s="26" t="s">
        <v>37</v>
      </c>
      <c r="O457" s="24" t="s">
        <v>2364</v>
      </c>
      <c r="P457" s="24" t="s">
        <v>2647</v>
      </c>
      <c r="Q457" s="27"/>
      <c r="R457" s="27"/>
      <c r="S457" s="28" t="s">
        <v>3255</v>
      </c>
      <c r="T457" s="8" t="s">
        <v>3256</v>
      </c>
      <c r="U457" s="29" t="e">
        <v>#N/A</v>
      </c>
      <c r="V457" s="21" t="s">
        <v>211</v>
      </c>
    </row>
    <row r="458">
      <c r="A458" s="30">
        <v>7.290000075143E12</v>
      </c>
      <c r="B458" s="20" t="s">
        <v>3257</v>
      </c>
      <c r="C458" s="21">
        <v>0.285</v>
      </c>
      <c r="D458" s="21">
        <v>0.08</v>
      </c>
      <c r="E458" s="21">
        <v>0.05</v>
      </c>
      <c r="F458" s="22">
        <v>6.0</v>
      </c>
      <c r="G458" s="23"/>
      <c r="H458" s="24" t="s">
        <v>3232</v>
      </c>
      <c r="I458" s="21" t="s">
        <v>3233</v>
      </c>
      <c r="J458" s="21" t="s">
        <v>1190</v>
      </c>
      <c r="K458" s="24" t="s">
        <v>3258</v>
      </c>
      <c r="L458" s="20" t="s">
        <v>3259</v>
      </c>
      <c r="M458" s="25" t="s">
        <v>3260</v>
      </c>
      <c r="N458" s="26" t="s">
        <v>37</v>
      </c>
      <c r="O458" s="24" t="s">
        <v>2364</v>
      </c>
      <c r="P458" s="24" t="s">
        <v>2647</v>
      </c>
      <c r="Q458" s="27"/>
      <c r="R458" s="27"/>
      <c r="S458" s="28" t="s">
        <v>3261</v>
      </c>
      <c r="T458" s="8" t="s">
        <v>3262</v>
      </c>
      <c r="U458" s="29" t="e">
        <v>#N/A</v>
      </c>
      <c r="V458" s="21" t="s">
        <v>211</v>
      </c>
    </row>
    <row r="459">
      <c r="A459" s="30">
        <v>63133.0</v>
      </c>
      <c r="B459" s="20" t="s">
        <v>3263</v>
      </c>
      <c r="C459" s="21">
        <v>0.065</v>
      </c>
      <c r="D459" s="21">
        <v>0.16</v>
      </c>
      <c r="E459" s="21">
        <v>0.02</v>
      </c>
      <c r="F459" s="22">
        <v>15.0</v>
      </c>
      <c r="G459" s="23"/>
      <c r="H459" s="24" t="s">
        <v>3232</v>
      </c>
      <c r="I459" s="21" t="s">
        <v>3233</v>
      </c>
      <c r="J459" s="20" t="s">
        <v>2514</v>
      </c>
      <c r="K459" s="24" t="s">
        <v>3264</v>
      </c>
      <c r="L459" s="20" t="s">
        <v>3265</v>
      </c>
      <c r="M459" s="25" t="s">
        <v>3266</v>
      </c>
      <c r="N459" s="26" t="s">
        <v>28</v>
      </c>
      <c r="O459" s="24" t="s">
        <v>3267</v>
      </c>
      <c r="P459" s="24" t="s">
        <v>3268</v>
      </c>
      <c r="Q459" s="27"/>
      <c r="R459" s="27"/>
      <c r="S459" s="28" t="s">
        <v>3269</v>
      </c>
      <c r="T459" s="8" t="s">
        <v>3270</v>
      </c>
      <c r="U459" s="29" t="s">
        <v>3271</v>
      </c>
      <c r="V459" s="24" t="str">
        <f>VLOOKUP(A459,'tagging table'!A:G,7,0)</f>
        <v>RMS</v>
      </c>
    </row>
    <row r="460">
      <c r="A460" s="30">
        <v>7.290112496294E12</v>
      </c>
      <c r="B460" s="20" t="s">
        <v>3272</v>
      </c>
      <c r="C460" s="21">
        <v>0.09999999</v>
      </c>
      <c r="D460" s="21">
        <v>0.14</v>
      </c>
      <c r="E460" s="21">
        <v>0.045</v>
      </c>
      <c r="F460" s="22">
        <v>7.0</v>
      </c>
      <c r="G460" s="23"/>
      <c r="H460" s="24" t="s">
        <v>3273</v>
      </c>
      <c r="I460" s="21" t="s">
        <v>3274</v>
      </c>
      <c r="J460" s="20" t="s">
        <v>3275</v>
      </c>
      <c r="K460" s="24" t="s">
        <v>3276</v>
      </c>
      <c r="L460" s="20" t="s">
        <v>3277</v>
      </c>
      <c r="M460" s="25" t="s">
        <v>3278</v>
      </c>
      <c r="N460" s="26" t="s">
        <v>28</v>
      </c>
      <c r="O460" s="24" t="s">
        <v>954</v>
      </c>
      <c r="P460" s="24" t="s">
        <v>3279</v>
      </c>
      <c r="Q460" s="27"/>
      <c r="R460" s="27"/>
      <c r="S460" s="31" t="s">
        <v>3280</v>
      </c>
      <c r="T460" s="33" t="s">
        <v>3281</v>
      </c>
      <c r="U460" s="29" t="s">
        <v>3282</v>
      </c>
      <c r="V460" s="24" t="str">
        <f>iferror(VLOOKUP(A460,'tagging table'!A:G,7,0),"")</f>
        <v>Pastry</v>
      </c>
    </row>
    <row r="461">
      <c r="A461" s="30">
        <v>7.290112492357E12</v>
      </c>
      <c r="B461" s="20" t="s">
        <v>3283</v>
      </c>
      <c r="C461" s="21">
        <v>0.09999999</v>
      </c>
      <c r="D461" s="21">
        <v>0.09</v>
      </c>
      <c r="E461" s="21">
        <v>0.09999999</v>
      </c>
      <c r="F461" s="22">
        <v>3.0</v>
      </c>
      <c r="G461" s="23"/>
      <c r="H461" s="24" t="s">
        <v>3273</v>
      </c>
      <c r="I461" s="21" t="s">
        <v>3274</v>
      </c>
      <c r="J461" s="20" t="s">
        <v>3275</v>
      </c>
      <c r="K461" s="24" t="s">
        <v>3284</v>
      </c>
      <c r="L461" s="20" t="s">
        <v>3285</v>
      </c>
      <c r="M461" s="25" t="s">
        <v>3286</v>
      </c>
      <c r="N461" s="26" t="s">
        <v>28</v>
      </c>
      <c r="O461" s="24" t="s">
        <v>954</v>
      </c>
      <c r="P461" s="24" t="s">
        <v>3287</v>
      </c>
      <c r="Q461" s="27"/>
      <c r="R461" s="27"/>
      <c r="S461" s="31" t="s">
        <v>3288</v>
      </c>
      <c r="T461" s="33" t="s">
        <v>3289</v>
      </c>
      <c r="U461" s="29" t="s">
        <v>3290</v>
      </c>
      <c r="V461" s="24" t="str">
        <f>iferror(VLOOKUP(A461,'tagging table'!A:G,7,0),"")</f>
        <v>Pastry</v>
      </c>
    </row>
    <row r="462">
      <c r="A462" s="30">
        <v>7.290112492258E12</v>
      </c>
      <c r="B462" s="20" t="s">
        <v>3291</v>
      </c>
      <c r="C462" s="21">
        <v>0.09999999</v>
      </c>
      <c r="D462" s="21">
        <v>0.09</v>
      </c>
      <c r="E462" s="21">
        <v>0.09999999</v>
      </c>
      <c r="F462" s="22">
        <v>3.0</v>
      </c>
      <c r="G462" s="23"/>
      <c r="H462" s="24" t="s">
        <v>3273</v>
      </c>
      <c r="I462" s="21" t="s">
        <v>3274</v>
      </c>
      <c r="J462" s="20" t="s">
        <v>3275</v>
      </c>
      <c r="K462" s="24" t="s">
        <v>3292</v>
      </c>
      <c r="L462" s="20" t="s">
        <v>3293</v>
      </c>
      <c r="M462" s="25" t="s">
        <v>3294</v>
      </c>
      <c r="N462" s="26" t="s">
        <v>28</v>
      </c>
      <c r="O462" s="24" t="s">
        <v>954</v>
      </c>
      <c r="P462" s="24" t="s">
        <v>3295</v>
      </c>
      <c r="Q462" s="27"/>
      <c r="R462" s="27"/>
      <c r="S462" s="31" t="s">
        <v>3296</v>
      </c>
      <c r="T462" s="33" t="s">
        <v>3297</v>
      </c>
      <c r="U462" s="29" t="s">
        <v>3290</v>
      </c>
      <c r="V462" s="24" t="str">
        <f>iferror(VLOOKUP(A462,'tagging table'!A:G,7,0),"")</f>
        <v>Pastry</v>
      </c>
    </row>
    <row r="463">
      <c r="A463" s="30">
        <v>7.290112495976E12</v>
      </c>
      <c r="B463" s="20" t="s">
        <v>3298</v>
      </c>
      <c r="C463" s="21">
        <v>0.09999999</v>
      </c>
      <c r="D463" s="21">
        <v>0.09999999</v>
      </c>
      <c r="E463" s="21">
        <v>0.07</v>
      </c>
      <c r="F463" s="22">
        <v>4.0</v>
      </c>
      <c r="G463" s="23"/>
      <c r="H463" s="24" t="s">
        <v>3273</v>
      </c>
      <c r="I463" s="21" t="s">
        <v>3274</v>
      </c>
      <c r="J463" s="20" t="s">
        <v>3275</v>
      </c>
      <c r="K463" s="24" t="s">
        <v>3299</v>
      </c>
      <c r="L463" s="20" t="s">
        <v>3300</v>
      </c>
      <c r="M463" s="25" t="s">
        <v>3301</v>
      </c>
      <c r="N463" s="26" t="s">
        <v>28</v>
      </c>
      <c r="O463" s="24" t="s">
        <v>954</v>
      </c>
      <c r="P463" s="24" t="s">
        <v>1303</v>
      </c>
      <c r="Q463" s="27"/>
      <c r="R463" s="27"/>
      <c r="S463" s="28" t="s">
        <v>3302</v>
      </c>
      <c r="T463" s="8" t="s">
        <v>3303</v>
      </c>
      <c r="U463" s="29" t="s">
        <v>3290</v>
      </c>
      <c r="V463" s="24" t="str">
        <f>iferror(VLOOKUP(A463,'tagging table'!A:G,7,0),"")</f>
        <v>Pastry</v>
      </c>
    </row>
    <row r="464">
      <c r="A464" s="30">
        <v>7.29011249627E12</v>
      </c>
      <c r="B464" s="20" t="s">
        <v>3304</v>
      </c>
      <c r="C464" s="21">
        <v>0.09999999</v>
      </c>
      <c r="D464" s="21">
        <v>0.14</v>
      </c>
      <c r="E464" s="21">
        <v>0.045</v>
      </c>
      <c r="F464" s="22">
        <v>7.0</v>
      </c>
      <c r="G464" s="23"/>
      <c r="H464" s="24" t="s">
        <v>3273</v>
      </c>
      <c r="I464" s="21" t="s">
        <v>3274</v>
      </c>
      <c r="J464" s="20" t="s">
        <v>3275</v>
      </c>
      <c r="K464" s="24" t="s">
        <v>3305</v>
      </c>
      <c r="L464" s="20" t="s">
        <v>3306</v>
      </c>
      <c r="M464" s="25" t="s">
        <v>3307</v>
      </c>
      <c r="N464" s="26" t="s">
        <v>28</v>
      </c>
      <c r="O464" s="24" t="s">
        <v>954</v>
      </c>
      <c r="P464" s="24" t="s">
        <v>3279</v>
      </c>
      <c r="Q464" s="27"/>
      <c r="R464" s="27"/>
      <c r="S464" s="28" t="s">
        <v>3308</v>
      </c>
      <c r="T464" s="8" t="s">
        <v>3309</v>
      </c>
      <c r="U464" s="29" t="s">
        <v>3282</v>
      </c>
      <c r="V464" s="24" t="str">
        <f>iferror(VLOOKUP(A464,'tagging table'!A:G,7,0),"")</f>
        <v>Pastry</v>
      </c>
    </row>
    <row r="465">
      <c r="A465" s="30">
        <v>7.290112496287E12</v>
      </c>
      <c r="B465" s="20" t="s">
        <v>3310</v>
      </c>
      <c r="C465" s="21">
        <v>0.09999999</v>
      </c>
      <c r="D465" s="21">
        <v>0.14</v>
      </c>
      <c r="E465" s="21">
        <v>0.045</v>
      </c>
      <c r="F465" s="22">
        <v>7.0</v>
      </c>
      <c r="G465" s="23"/>
      <c r="H465" s="24" t="s">
        <v>3273</v>
      </c>
      <c r="I465" s="21" t="s">
        <v>3274</v>
      </c>
      <c r="J465" s="20" t="s">
        <v>3275</v>
      </c>
      <c r="K465" s="24" t="s">
        <v>3311</v>
      </c>
      <c r="L465" s="20" t="s">
        <v>3312</v>
      </c>
      <c r="M465" s="25" t="s">
        <v>3313</v>
      </c>
      <c r="N465" s="26" t="s">
        <v>28</v>
      </c>
      <c r="O465" s="24" t="s">
        <v>954</v>
      </c>
      <c r="P465" s="24" t="s">
        <v>3279</v>
      </c>
      <c r="Q465" s="27"/>
      <c r="R465" s="27"/>
      <c r="S465" s="31" t="s">
        <v>3314</v>
      </c>
      <c r="T465" s="33" t="s">
        <v>3315</v>
      </c>
      <c r="U465" s="29" t="s">
        <v>3282</v>
      </c>
      <c r="V465" s="24" t="str">
        <f>iferror(VLOOKUP(A465,'tagging table'!A:G,7,0),"")</f>
        <v>Pastry</v>
      </c>
    </row>
    <row r="466">
      <c r="A466" s="30">
        <v>5.201044009706E12</v>
      </c>
      <c r="B466" s="20" t="s">
        <v>3316</v>
      </c>
      <c r="C466" s="21">
        <v>0.12</v>
      </c>
      <c r="D466" s="21">
        <v>0.18</v>
      </c>
      <c r="E466" s="21">
        <v>0.04</v>
      </c>
      <c r="F466" s="22">
        <v>8.0</v>
      </c>
      <c r="G466" s="23"/>
      <c r="H466" s="24" t="s">
        <v>3317</v>
      </c>
      <c r="I466" s="21" t="s">
        <v>3318</v>
      </c>
      <c r="J466" s="24"/>
      <c r="K466" s="24" t="s">
        <v>3319</v>
      </c>
      <c r="L466" s="20" t="s">
        <v>3320</v>
      </c>
      <c r="M466" s="25" t="s">
        <v>3321</v>
      </c>
      <c r="N466" s="26" t="s">
        <v>28</v>
      </c>
      <c r="O466" s="24" t="s">
        <v>109</v>
      </c>
      <c r="P466" s="24" t="s">
        <v>1395</v>
      </c>
      <c r="Q466" s="27"/>
      <c r="R466" s="27"/>
      <c r="S466" s="28" t="s">
        <v>3322</v>
      </c>
      <c r="T466" s="8" t="s">
        <v>3321</v>
      </c>
      <c r="U466" s="29" t="s">
        <v>3323</v>
      </c>
      <c r="V466" s="21" t="s">
        <v>1798</v>
      </c>
    </row>
    <row r="467">
      <c r="A467" s="30">
        <v>7.290000433974E12</v>
      </c>
      <c r="B467" s="20" t="s">
        <v>3324</v>
      </c>
      <c r="C467" s="21">
        <v>0.08</v>
      </c>
      <c r="D467" s="21">
        <v>0.33</v>
      </c>
      <c r="E467" s="21">
        <v>0.08</v>
      </c>
      <c r="F467" s="22">
        <v>4.0</v>
      </c>
      <c r="G467" s="23"/>
      <c r="H467" s="24" t="s">
        <v>3325</v>
      </c>
      <c r="I467" s="21" t="s">
        <v>3326</v>
      </c>
      <c r="J467" s="20" t="s">
        <v>3326</v>
      </c>
      <c r="K467" s="24" t="s">
        <v>3327</v>
      </c>
      <c r="L467" s="20" t="s">
        <v>3328</v>
      </c>
      <c r="M467" s="25" t="s">
        <v>3329</v>
      </c>
      <c r="N467" s="26" t="s">
        <v>37</v>
      </c>
      <c r="O467" s="24" t="s">
        <v>814</v>
      </c>
      <c r="P467" s="24" t="s">
        <v>815</v>
      </c>
      <c r="Q467" s="27"/>
      <c r="R467" s="27"/>
      <c r="S467" s="31" t="s">
        <v>3330</v>
      </c>
      <c r="T467" s="33" t="s">
        <v>3331</v>
      </c>
      <c r="U467" s="29" t="e">
        <v>#N/A</v>
      </c>
      <c r="V467" s="21" t="s">
        <v>573</v>
      </c>
    </row>
    <row r="468">
      <c r="A468" s="30">
        <v>7.290010237531E12</v>
      </c>
      <c r="B468" s="20" t="s">
        <v>3332</v>
      </c>
      <c r="C468" s="21">
        <v>0.065</v>
      </c>
      <c r="D468" s="21">
        <v>0.24</v>
      </c>
      <c r="E468" s="21">
        <v>0.065</v>
      </c>
      <c r="F468" s="22">
        <v>5.0</v>
      </c>
      <c r="G468" s="23"/>
      <c r="H468" s="24" t="s">
        <v>3325</v>
      </c>
      <c r="I468" s="21" t="s">
        <v>3326</v>
      </c>
      <c r="J468" s="20" t="s">
        <v>3326</v>
      </c>
      <c r="K468" s="24" t="s">
        <v>3333</v>
      </c>
      <c r="L468" s="20" t="s">
        <v>3334</v>
      </c>
      <c r="M468" s="25" t="s">
        <v>3335</v>
      </c>
      <c r="N468" s="26" t="s">
        <v>28</v>
      </c>
      <c r="O468" s="24" t="s">
        <v>799</v>
      </c>
      <c r="P468" s="24" t="s">
        <v>807</v>
      </c>
      <c r="Q468" s="27"/>
      <c r="R468" s="27"/>
      <c r="S468" s="28" t="s">
        <v>3336</v>
      </c>
      <c r="T468" s="8" t="s">
        <v>3337</v>
      </c>
      <c r="U468" s="29" t="s">
        <v>3326</v>
      </c>
      <c r="V468" s="24" t="str">
        <f>iferror(VLOOKUP(A468,'tagging table'!A:G,7,0),"")</f>
        <v>Drinks</v>
      </c>
    </row>
    <row r="469">
      <c r="A469" s="30">
        <v>7.290000135175E12</v>
      </c>
      <c r="B469" s="20" t="s">
        <v>3338</v>
      </c>
      <c r="C469" s="21">
        <v>0.057</v>
      </c>
      <c r="D469" s="21">
        <v>0.14</v>
      </c>
      <c r="E469" s="21">
        <v>0.057</v>
      </c>
      <c r="F469" s="22">
        <v>5.0</v>
      </c>
      <c r="G469" s="23"/>
      <c r="H469" s="24" t="s">
        <v>3325</v>
      </c>
      <c r="I469" s="21" t="s">
        <v>3326</v>
      </c>
      <c r="J469" s="20" t="s">
        <v>3326</v>
      </c>
      <c r="K469" s="24" t="s">
        <v>3339</v>
      </c>
      <c r="L469" s="20" t="s">
        <v>3340</v>
      </c>
      <c r="M469" s="25" t="s">
        <v>3341</v>
      </c>
      <c r="N469" s="26" t="s">
        <v>37</v>
      </c>
      <c r="O469" s="24" t="s">
        <v>814</v>
      </c>
      <c r="P469" s="24" t="s">
        <v>840</v>
      </c>
      <c r="Q469" s="27"/>
      <c r="R469" s="27"/>
      <c r="S469" s="31" t="s">
        <v>3342</v>
      </c>
      <c r="T469" s="33" t="s">
        <v>3343</v>
      </c>
      <c r="U469" s="29" t="e">
        <v>#N/A</v>
      </c>
      <c r="V469" s="21" t="s">
        <v>573</v>
      </c>
    </row>
    <row r="470">
      <c r="A470" s="30">
        <v>7.290000433684E12</v>
      </c>
      <c r="B470" s="20" t="s">
        <v>3344</v>
      </c>
      <c r="C470" s="21">
        <v>0.08</v>
      </c>
      <c r="D470" s="21">
        <v>0.33</v>
      </c>
      <c r="E470" s="21">
        <v>0.08</v>
      </c>
      <c r="F470" s="22">
        <v>4.0</v>
      </c>
      <c r="G470" s="23"/>
      <c r="H470" s="24" t="s">
        <v>3325</v>
      </c>
      <c r="I470" s="21" t="s">
        <v>3326</v>
      </c>
      <c r="J470" s="20" t="s">
        <v>3326</v>
      </c>
      <c r="K470" s="24" t="s">
        <v>3345</v>
      </c>
      <c r="L470" s="20" t="s">
        <v>3346</v>
      </c>
      <c r="M470" s="25" t="s">
        <v>3347</v>
      </c>
      <c r="N470" s="26" t="s">
        <v>37</v>
      </c>
      <c r="O470" s="24" t="s">
        <v>799</v>
      </c>
      <c r="P470" s="24" t="s">
        <v>815</v>
      </c>
      <c r="Q470" s="27"/>
      <c r="R470" s="27"/>
      <c r="S470" s="31" t="s">
        <v>3348</v>
      </c>
      <c r="T470" s="8" t="s">
        <v>3349</v>
      </c>
      <c r="U470" s="29" t="e">
        <v>#N/A</v>
      </c>
      <c r="V470" s="21" t="s">
        <v>573</v>
      </c>
    </row>
    <row r="471">
      <c r="A471" s="30">
        <v>7.290010237548E12</v>
      </c>
      <c r="B471" s="20" t="s">
        <v>3350</v>
      </c>
      <c r="C471" s="21">
        <v>0.065</v>
      </c>
      <c r="D471" s="21">
        <v>0.24</v>
      </c>
      <c r="E471" s="21">
        <v>0.065</v>
      </c>
      <c r="F471" s="22">
        <v>5.0</v>
      </c>
      <c r="G471" s="23"/>
      <c r="H471" s="24" t="s">
        <v>3325</v>
      </c>
      <c r="I471" s="21" t="s">
        <v>3326</v>
      </c>
      <c r="J471" s="20" t="s">
        <v>3326</v>
      </c>
      <c r="K471" s="24" t="s">
        <v>3351</v>
      </c>
      <c r="L471" s="20" t="s">
        <v>3352</v>
      </c>
      <c r="M471" s="25" t="s">
        <v>3353</v>
      </c>
      <c r="N471" s="26" t="s">
        <v>28</v>
      </c>
      <c r="O471" s="24" t="s">
        <v>814</v>
      </c>
      <c r="P471" s="24" t="s">
        <v>840</v>
      </c>
      <c r="Q471" s="27"/>
      <c r="R471" s="27"/>
      <c r="S471" s="31" t="s">
        <v>3354</v>
      </c>
      <c r="T471" s="33" t="s">
        <v>3355</v>
      </c>
      <c r="U471" s="29" t="s">
        <v>3326</v>
      </c>
      <c r="V471" s="24" t="str">
        <f>iferror(VLOOKUP(A471,'tagging table'!A:G,7,0),"")</f>
        <v>Drinks</v>
      </c>
    </row>
    <row r="472">
      <c r="A472" s="30">
        <v>7.290008464406E12</v>
      </c>
      <c r="B472" s="20" t="s">
        <v>3356</v>
      </c>
      <c r="C472" s="21">
        <v>0.057</v>
      </c>
      <c r="D472" s="21">
        <v>0.14</v>
      </c>
      <c r="E472" s="21">
        <v>0.057</v>
      </c>
      <c r="F472" s="22">
        <v>5.0</v>
      </c>
      <c r="G472" s="23"/>
      <c r="H472" s="24" t="s">
        <v>3325</v>
      </c>
      <c r="I472" s="21" t="s">
        <v>3326</v>
      </c>
      <c r="J472" s="20" t="s">
        <v>3326</v>
      </c>
      <c r="K472" s="24" t="s">
        <v>3357</v>
      </c>
      <c r="L472" s="20" t="s">
        <v>3358</v>
      </c>
      <c r="M472" s="25" t="s">
        <v>3359</v>
      </c>
      <c r="N472" s="26" t="s">
        <v>37</v>
      </c>
      <c r="O472" s="24" t="s">
        <v>814</v>
      </c>
      <c r="P472" s="24" t="s">
        <v>840</v>
      </c>
      <c r="Q472" s="27"/>
      <c r="R472" s="27"/>
      <c r="S472" s="31" t="s">
        <v>3360</v>
      </c>
      <c r="T472" s="8" t="s">
        <v>3361</v>
      </c>
      <c r="U472" s="29" t="e">
        <v>#N/A</v>
      </c>
      <c r="V472" s="21" t="s">
        <v>573</v>
      </c>
    </row>
    <row r="473">
      <c r="A473" s="30">
        <v>7.613036280327E12</v>
      </c>
      <c r="B473" s="20" t="s">
        <v>3362</v>
      </c>
      <c r="C473" s="21">
        <v>0.05</v>
      </c>
      <c r="D473" s="21">
        <v>0.135</v>
      </c>
      <c r="E473" s="21">
        <v>0.05</v>
      </c>
      <c r="F473" s="22">
        <v>6.0</v>
      </c>
      <c r="G473" s="23"/>
      <c r="H473" s="24" t="s">
        <v>3363</v>
      </c>
      <c r="I473" s="21" t="s">
        <v>3364</v>
      </c>
      <c r="J473" s="20" t="s">
        <v>3365</v>
      </c>
      <c r="K473" s="24" t="s">
        <v>3366</v>
      </c>
      <c r="L473" s="20" t="s">
        <v>3367</v>
      </c>
      <c r="M473" s="25" t="s">
        <v>3368</v>
      </c>
      <c r="N473" s="26" t="s">
        <v>28</v>
      </c>
      <c r="O473" s="24" t="s">
        <v>1351</v>
      </c>
      <c r="P473" s="24" t="s">
        <v>1359</v>
      </c>
      <c r="Q473" s="27"/>
      <c r="R473" s="27"/>
      <c r="S473" s="28" t="s">
        <v>3369</v>
      </c>
      <c r="T473" s="8" t="s">
        <v>3370</v>
      </c>
      <c r="U473" s="29" t="s">
        <v>3371</v>
      </c>
      <c r="V473" s="24" t="str">
        <f>iferror(VLOOKUP(A473,'tagging table'!A:G,7,0),"")</f>
        <v>Drinks</v>
      </c>
    </row>
    <row r="474">
      <c r="A474" s="30">
        <v>3.179730011024E12</v>
      </c>
      <c r="B474" s="20" t="s">
        <v>3372</v>
      </c>
      <c r="C474" s="21">
        <v>0.057</v>
      </c>
      <c r="D474" s="21">
        <v>0.14</v>
      </c>
      <c r="E474" s="21">
        <v>0.057</v>
      </c>
      <c r="F474" s="22">
        <v>5.0</v>
      </c>
      <c r="G474" s="23"/>
      <c r="H474" s="24" t="s">
        <v>3363</v>
      </c>
      <c r="I474" s="21" t="s">
        <v>3364</v>
      </c>
      <c r="J474" s="20" t="s">
        <v>3365</v>
      </c>
      <c r="K474" s="24" t="s">
        <v>3373</v>
      </c>
      <c r="L474" s="20" t="s">
        <v>3374</v>
      </c>
      <c r="M474" s="25" t="s">
        <v>3375</v>
      </c>
      <c r="N474" s="26" t="s">
        <v>37</v>
      </c>
      <c r="O474" s="24" t="s">
        <v>1385</v>
      </c>
      <c r="P474" s="24" t="s">
        <v>1386</v>
      </c>
      <c r="Q474" s="27"/>
      <c r="R474" s="27"/>
      <c r="S474" s="28" t="s">
        <v>3376</v>
      </c>
      <c r="T474" s="8" t="s">
        <v>3377</v>
      </c>
      <c r="U474" s="29" t="e">
        <v>#N/A</v>
      </c>
      <c r="V474" s="21" t="s">
        <v>573</v>
      </c>
    </row>
    <row r="475">
      <c r="A475" s="30">
        <v>7.613036286008E12</v>
      </c>
      <c r="B475" s="20" t="s">
        <v>3378</v>
      </c>
      <c r="C475" s="21">
        <v>0.05</v>
      </c>
      <c r="D475" s="21">
        <v>0.135</v>
      </c>
      <c r="E475" s="21">
        <v>0.05</v>
      </c>
      <c r="F475" s="22">
        <v>6.0</v>
      </c>
      <c r="G475" s="23"/>
      <c r="H475" s="24" t="s">
        <v>3363</v>
      </c>
      <c r="I475" s="21" t="s">
        <v>3364</v>
      </c>
      <c r="J475" s="20" t="s">
        <v>3365</v>
      </c>
      <c r="K475" s="24" t="s">
        <v>3379</v>
      </c>
      <c r="L475" s="20" t="s">
        <v>3380</v>
      </c>
      <c r="M475" s="25" t="s">
        <v>3381</v>
      </c>
      <c r="N475" s="26" t="s">
        <v>28</v>
      </c>
      <c r="O475" s="24" t="s">
        <v>1351</v>
      </c>
      <c r="P475" s="24" t="s">
        <v>1359</v>
      </c>
      <c r="Q475" s="27"/>
      <c r="R475" s="27"/>
      <c r="S475" s="28" t="s">
        <v>3382</v>
      </c>
      <c r="T475" s="8" t="s">
        <v>3383</v>
      </c>
      <c r="U475" s="29" t="s">
        <v>3371</v>
      </c>
      <c r="V475" s="24" t="str">
        <f>iferror(VLOOKUP(A475,'tagging table'!A:G,7,0),"")</f>
        <v>Drinks</v>
      </c>
    </row>
    <row r="476">
      <c r="A476" s="30">
        <v>7.290112348234E12</v>
      </c>
      <c r="B476" s="20" t="s">
        <v>3384</v>
      </c>
      <c r="C476" s="21">
        <v>0.16</v>
      </c>
      <c r="D476" s="21">
        <v>0.035</v>
      </c>
      <c r="E476" s="21">
        <v>0.017</v>
      </c>
      <c r="F476" s="22">
        <v>18.0</v>
      </c>
      <c r="G476" s="23"/>
      <c r="H476" s="24" t="s">
        <v>3385</v>
      </c>
      <c r="I476" s="21" t="s">
        <v>3386</v>
      </c>
      <c r="J476" s="24"/>
      <c r="K476" s="24" t="s">
        <v>3387</v>
      </c>
      <c r="L476" s="20" t="s">
        <v>3388</v>
      </c>
      <c r="M476" s="25" t="s">
        <v>3389</v>
      </c>
      <c r="N476" s="26" t="s">
        <v>28</v>
      </c>
      <c r="O476" s="24" t="s">
        <v>501</v>
      </c>
      <c r="P476" s="24" t="s">
        <v>502</v>
      </c>
      <c r="Q476" s="27"/>
      <c r="R476" s="27"/>
      <c r="S476" s="28" t="s">
        <v>3390</v>
      </c>
      <c r="T476" s="8" t="s">
        <v>3391</v>
      </c>
      <c r="U476" s="29" t="s">
        <v>3392</v>
      </c>
      <c r="V476" s="24" t="str">
        <f>iferror(VLOOKUP(A476,'tagging table'!A:G,7,0),"")</f>
        <v>Cashiers</v>
      </c>
    </row>
    <row r="477">
      <c r="A477" s="30">
        <v>7.2992357E7</v>
      </c>
      <c r="B477" s="20" t="s">
        <v>3393</v>
      </c>
      <c r="C477" s="21">
        <v>0.145</v>
      </c>
      <c r="D477" s="21">
        <v>0.035</v>
      </c>
      <c r="E477" s="21">
        <v>0.02</v>
      </c>
      <c r="F477" s="22">
        <v>15.0</v>
      </c>
      <c r="G477" s="23"/>
      <c r="H477" s="24" t="s">
        <v>3385</v>
      </c>
      <c r="I477" s="21" t="s">
        <v>3386</v>
      </c>
      <c r="J477" s="24"/>
      <c r="K477" s="24" t="s">
        <v>3394</v>
      </c>
      <c r="L477" s="20" t="s">
        <v>3395</v>
      </c>
      <c r="M477" s="25" t="s">
        <v>3396</v>
      </c>
      <c r="N477" s="26" t="s">
        <v>28</v>
      </c>
      <c r="O477" s="24" t="s">
        <v>501</v>
      </c>
      <c r="P477" s="24" t="s">
        <v>502</v>
      </c>
      <c r="Q477" s="27"/>
      <c r="R477" s="27"/>
      <c r="S477" s="28" t="s">
        <v>3397</v>
      </c>
      <c r="T477" s="33" t="s">
        <v>3398</v>
      </c>
      <c r="U477" s="29" t="s">
        <v>3392</v>
      </c>
      <c r="V477" s="24" t="str">
        <f>iferror(VLOOKUP(A477,'tagging table'!A:G,7,0),"")</f>
        <v>Cashiers</v>
      </c>
    </row>
    <row r="478">
      <c r="A478" s="30">
        <v>7.290112332691E12</v>
      </c>
      <c r="B478" s="20" t="s">
        <v>3399</v>
      </c>
      <c r="C478" s="21">
        <v>0.265</v>
      </c>
      <c r="D478" s="21">
        <v>0.09</v>
      </c>
      <c r="E478" s="21">
        <v>0.03</v>
      </c>
      <c r="F478" s="22">
        <v>10.0</v>
      </c>
      <c r="G478" s="23"/>
      <c r="H478" s="24" t="s">
        <v>3400</v>
      </c>
      <c r="I478" s="21" t="s">
        <v>3401</v>
      </c>
      <c r="J478" s="21" t="s">
        <v>1175</v>
      </c>
      <c r="K478" s="24" t="s">
        <v>3402</v>
      </c>
      <c r="L478" s="20" t="s">
        <v>3403</v>
      </c>
      <c r="M478" s="25" t="s">
        <v>3404</v>
      </c>
      <c r="N478" s="26" t="s">
        <v>28</v>
      </c>
      <c r="O478" s="24" t="s">
        <v>2364</v>
      </c>
      <c r="P478" s="24" t="s">
        <v>3164</v>
      </c>
      <c r="Q478" s="27"/>
      <c r="R478" s="27"/>
      <c r="S478" s="28" t="s">
        <v>3405</v>
      </c>
      <c r="T478" s="8" t="s">
        <v>3406</v>
      </c>
      <c r="U478" s="29" t="s">
        <v>3407</v>
      </c>
      <c r="V478" s="24" t="str">
        <f>iferror(VLOOKUP(A478,'tagging table'!A:G,7,0),"")</f>
        <v>Waffles &amp; cookies</v>
      </c>
    </row>
    <row r="479">
      <c r="A479" s="30">
        <v>7.2917893E7</v>
      </c>
      <c r="B479" s="20" t="s">
        <v>3408</v>
      </c>
      <c r="C479" s="21">
        <v>0.16</v>
      </c>
      <c r="D479" s="21">
        <v>0.035</v>
      </c>
      <c r="E479" s="21">
        <v>0.02</v>
      </c>
      <c r="F479" s="22">
        <v>15.0</v>
      </c>
      <c r="G479" s="23"/>
      <c r="H479" s="24" t="s">
        <v>3385</v>
      </c>
      <c r="I479" s="21" t="s">
        <v>3386</v>
      </c>
      <c r="J479" s="24"/>
      <c r="K479" s="24" t="s">
        <v>3409</v>
      </c>
      <c r="L479" s="20" t="s">
        <v>3410</v>
      </c>
      <c r="M479" s="25" t="s">
        <v>3411</v>
      </c>
      <c r="N479" s="26" t="s">
        <v>28</v>
      </c>
      <c r="O479" s="24" t="s">
        <v>501</v>
      </c>
      <c r="P479" s="24" t="s">
        <v>502</v>
      </c>
      <c r="Q479" s="27"/>
      <c r="R479" s="27"/>
      <c r="S479" s="28" t="s">
        <v>3412</v>
      </c>
      <c r="T479" s="8" t="s">
        <v>3413</v>
      </c>
      <c r="U479" s="29" t="s">
        <v>3392</v>
      </c>
      <c r="V479" s="24" t="str">
        <f>iferror(VLOOKUP(A479,'tagging table'!A:G,7,0),"")</f>
        <v>Cashiers</v>
      </c>
    </row>
    <row r="480">
      <c r="A480" s="30">
        <v>7.2994061E7</v>
      </c>
      <c r="B480" s="20" t="s">
        <v>3414</v>
      </c>
      <c r="C480" s="21">
        <v>0.13</v>
      </c>
      <c r="D480" s="21">
        <v>0.045</v>
      </c>
      <c r="E480" s="21">
        <v>0.02</v>
      </c>
      <c r="F480" s="22">
        <v>15.0</v>
      </c>
      <c r="G480" s="23"/>
      <c r="H480" s="24" t="s">
        <v>3385</v>
      </c>
      <c r="I480" s="21" t="s">
        <v>3386</v>
      </c>
      <c r="J480" s="24"/>
      <c r="K480" s="24" t="s">
        <v>3415</v>
      </c>
      <c r="L480" s="20" t="s">
        <v>3416</v>
      </c>
      <c r="M480" s="25" t="s">
        <v>3417</v>
      </c>
      <c r="N480" s="26" t="s">
        <v>28</v>
      </c>
      <c r="O480" s="24" t="s">
        <v>501</v>
      </c>
      <c r="P480" s="24" t="s">
        <v>502</v>
      </c>
      <c r="Q480" s="27"/>
      <c r="R480" s="27"/>
      <c r="S480" s="31" t="s">
        <v>3418</v>
      </c>
      <c r="T480" s="8" t="s">
        <v>3419</v>
      </c>
      <c r="U480" s="29" t="s">
        <v>3392</v>
      </c>
      <c r="V480" s="24" t="str">
        <f>iferror(VLOOKUP(A480,'tagging table'!A:G,7,0),"")</f>
        <v>Cashiers</v>
      </c>
    </row>
    <row r="481">
      <c r="A481" s="30">
        <v>7.290112358004E12</v>
      </c>
      <c r="B481" s="20" t="s">
        <v>3420</v>
      </c>
      <c r="C481" s="21">
        <v>0.16</v>
      </c>
      <c r="D481" s="21">
        <v>0.035</v>
      </c>
      <c r="E481" s="21">
        <v>0.018</v>
      </c>
      <c r="F481" s="22">
        <v>17.0</v>
      </c>
      <c r="G481" s="23"/>
      <c r="H481" s="24" t="s">
        <v>3385</v>
      </c>
      <c r="I481" s="21" t="s">
        <v>3386</v>
      </c>
      <c r="J481" s="24"/>
      <c r="K481" s="24" t="s">
        <v>3421</v>
      </c>
      <c r="L481" s="20" t="s">
        <v>3422</v>
      </c>
      <c r="M481" s="25" t="s">
        <v>3423</v>
      </c>
      <c r="N481" s="26" t="s">
        <v>28</v>
      </c>
      <c r="O481" s="24" t="s">
        <v>501</v>
      </c>
      <c r="P481" s="24" t="s">
        <v>502</v>
      </c>
      <c r="Q481" s="27"/>
      <c r="R481" s="27"/>
      <c r="S481" s="28" t="s">
        <v>3424</v>
      </c>
      <c r="T481" s="8" t="s">
        <v>3425</v>
      </c>
      <c r="U481" s="29" t="s">
        <v>3392</v>
      </c>
      <c r="V481" s="24" t="str">
        <f>iferror(VLOOKUP(A481,'tagging table'!A:G,7,0),"")</f>
        <v>Cashiers</v>
      </c>
    </row>
    <row r="482">
      <c r="A482" s="30">
        <v>7.29011235035E12</v>
      </c>
      <c r="B482" s="20" t="s">
        <v>3426</v>
      </c>
      <c r="C482" s="21">
        <v>0.16</v>
      </c>
      <c r="D482" s="21">
        <v>0.035</v>
      </c>
      <c r="E482" s="21">
        <v>0.017</v>
      </c>
      <c r="F482" s="22">
        <v>18.0</v>
      </c>
      <c r="G482" s="23"/>
      <c r="H482" s="24" t="s">
        <v>3385</v>
      </c>
      <c r="I482" s="21" t="s">
        <v>3386</v>
      </c>
      <c r="J482" s="24"/>
      <c r="K482" s="24" t="s">
        <v>3427</v>
      </c>
      <c r="L482" s="20" t="s">
        <v>3428</v>
      </c>
      <c r="M482" s="25" t="s">
        <v>3429</v>
      </c>
      <c r="N482" s="26" t="s">
        <v>28</v>
      </c>
      <c r="O482" s="24" t="s">
        <v>501</v>
      </c>
      <c r="P482" s="24" t="s">
        <v>502</v>
      </c>
      <c r="Q482" s="27"/>
      <c r="R482" s="27"/>
      <c r="S482" s="28" t="s">
        <v>3430</v>
      </c>
      <c r="T482" s="8" t="s">
        <v>3431</v>
      </c>
      <c r="U482" s="29" t="s">
        <v>3392</v>
      </c>
      <c r="V482" s="24" t="str">
        <f>iferror(VLOOKUP(A482,'tagging table'!A:G,7,0),"")</f>
        <v>Cashiers</v>
      </c>
    </row>
    <row r="483">
      <c r="A483" s="30">
        <v>7.290112348241E12</v>
      </c>
      <c r="B483" s="20" t="s">
        <v>3432</v>
      </c>
      <c r="C483" s="21">
        <v>0.16</v>
      </c>
      <c r="D483" s="21">
        <v>0.035</v>
      </c>
      <c r="E483" s="21">
        <v>0.017</v>
      </c>
      <c r="F483" s="22">
        <v>18.0</v>
      </c>
      <c r="G483" s="23"/>
      <c r="H483" s="24" t="s">
        <v>3385</v>
      </c>
      <c r="I483" s="21" t="s">
        <v>3386</v>
      </c>
      <c r="J483" s="24"/>
      <c r="K483" s="24" t="s">
        <v>3433</v>
      </c>
      <c r="L483" s="20" t="s">
        <v>3434</v>
      </c>
      <c r="M483" s="25" t="s">
        <v>3435</v>
      </c>
      <c r="N483" s="26" t="s">
        <v>28</v>
      </c>
      <c r="O483" s="24" t="s">
        <v>501</v>
      </c>
      <c r="P483" s="24" t="s">
        <v>502</v>
      </c>
      <c r="Q483" s="27"/>
      <c r="R483" s="27"/>
      <c r="S483" s="28" t="s">
        <v>3436</v>
      </c>
      <c r="T483" s="8" t="s">
        <v>3437</v>
      </c>
      <c r="U483" s="29" t="s">
        <v>3392</v>
      </c>
      <c r="V483" s="24" t="str">
        <f>iferror(VLOOKUP(A483,'tagging table'!A:G,7,0),"")</f>
        <v>Cashiers</v>
      </c>
    </row>
    <row r="484">
      <c r="A484" s="30">
        <v>7.290115200027E12</v>
      </c>
      <c r="B484" s="20" t="s">
        <v>3438</v>
      </c>
      <c r="C484" s="21">
        <v>0.235</v>
      </c>
      <c r="D484" s="21">
        <v>0.105</v>
      </c>
      <c r="E484" s="21">
        <v>0.045</v>
      </c>
      <c r="F484" s="22">
        <v>7.0</v>
      </c>
      <c r="G484" s="23"/>
      <c r="H484" s="24" t="s">
        <v>3439</v>
      </c>
      <c r="I484" s="21" t="s">
        <v>3440</v>
      </c>
      <c r="J484" s="21" t="s">
        <v>1190</v>
      </c>
      <c r="K484" s="24" t="s">
        <v>3441</v>
      </c>
      <c r="L484" s="20" t="s">
        <v>3442</v>
      </c>
      <c r="M484" s="25" t="s">
        <v>3443</v>
      </c>
      <c r="N484" s="26" t="s">
        <v>28</v>
      </c>
      <c r="O484" s="24" t="s">
        <v>3439</v>
      </c>
      <c r="P484" s="24" t="s">
        <v>3444</v>
      </c>
      <c r="Q484" s="27"/>
      <c r="R484" s="27"/>
      <c r="S484" s="28" t="s">
        <v>3445</v>
      </c>
      <c r="T484" s="8" t="s">
        <v>3446</v>
      </c>
      <c r="U484" s="29" t="s">
        <v>3447</v>
      </c>
      <c r="V484" s="24" t="str">
        <f>iferror(VLOOKUP(A484,'tagging table'!A:G,7,0),"")</f>
        <v>Waffles &amp; cookies</v>
      </c>
    </row>
    <row r="485">
      <c r="A485" s="30">
        <v>7.290000074184E12</v>
      </c>
      <c r="B485" s="20" t="s">
        <v>3448</v>
      </c>
      <c r="C485" s="21">
        <v>0.19</v>
      </c>
      <c r="D485" s="21">
        <v>0.075</v>
      </c>
      <c r="E485" s="21">
        <v>0.045</v>
      </c>
      <c r="F485" s="22">
        <v>7.0</v>
      </c>
      <c r="G485" s="23"/>
      <c r="H485" s="24" t="s">
        <v>3439</v>
      </c>
      <c r="I485" s="21" t="s">
        <v>3440</v>
      </c>
      <c r="J485" s="21" t="s">
        <v>1190</v>
      </c>
      <c r="K485" s="24" t="s">
        <v>3449</v>
      </c>
      <c r="L485" s="20" t="s">
        <v>3450</v>
      </c>
      <c r="M485" s="25" t="s">
        <v>3451</v>
      </c>
      <c r="N485" s="26" t="s">
        <v>37</v>
      </c>
      <c r="O485" s="24" t="s">
        <v>3439</v>
      </c>
      <c r="P485" s="24" t="s">
        <v>3444</v>
      </c>
      <c r="Q485" s="27"/>
      <c r="R485" s="27"/>
      <c r="S485" s="28" t="s">
        <v>3452</v>
      </c>
      <c r="T485" s="8" t="s">
        <v>3453</v>
      </c>
      <c r="U485" s="29" t="e">
        <v>#N/A</v>
      </c>
      <c r="V485" s="21" t="s">
        <v>211</v>
      </c>
    </row>
    <row r="486">
      <c r="A486" s="30">
        <v>9.044400841E12</v>
      </c>
      <c r="B486" s="20" t="s">
        <v>3454</v>
      </c>
      <c r="C486" s="21">
        <v>0.08</v>
      </c>
      <c r="D486" s="21">
        <v>0.22</v>
      </c>
      <c r="E486" s="21">
        <v>0.05</v>
      </c>
      <c r="F486" s="22">
        <v>6.0</v>
      </c>
      <c r="G486" s="23"/>
      <c r="H486" s="24" t="s">
        <v>3455</v>
      </c>
      <c r="I486" s="21" t="s">
        <v>3456</v>
      </c>
      <c r="J486" s="24"/>
      <c r="K486" s="24" t="s">
        <v>3457</v>
      </c>
      <c r="L486" s="20" t="s">
        <v>3458</v>
      </c>
      <c r="M486" s="25" t="s">
        <v>3459</v>
      </c>
      <c r="N486" s="26" t="s">
        <v>28</v>
      </c>
      <c r="O486" s="24" t="s">
        <v>3460</v>
      </c>
      <c r="P486" s="24" t="s">
        <v>3461</v>
      </c>
      <c r="Q486" s="27"/>
      <c r="R486" s="27"/>
      <c r="S486" s="28" t="s">
        <v>3462</v>
      </c>
      <c r="T486" s="8" t="s">
        <v>3463</v>
      </c>
      <c r="U486" s="29" t="s">
        <v>3456</v>
      </c>
      <c r="V486" s="24" t="str">
        <f>iferror(VLOOKUP(A486,'tagging table'!A:G,7,0),"")</f>
        <v>Sweets</v>
      </c>
    </row>
    <row r="487">
      <c r="A487" s="30">
        <v>4120566.0</v>
      </c>
      <c r="B487" s="20" t="s">
        <v>3464</v>
      </c>
      <c r="C487" s="21">
        <v>0.09999999</v>
      </c>
      <c r="D487" s="21">
        <v>0.09</v>
      </c>
      <c r="E487" s="21">
        <v>0.075</v>
      </c>
      <c r="F487" s="22">
        <v>4.0</v>
      </c>
      <c r="G487" s="23"/>
      <c r="H487" s="24" t="s">
        <v>3465</v>
      </c>
      <c r="I487" s="21" t="s">
        <v>3466</v>
      </c>
      <c r="J487" s="24"/>
      <c r="K487" s="24" t="s">
        <v>3467</v>
      </c>
      <c r="L487" s="20" t="s">
        <v>3468</v>
      </c>
      <c r="M487" s="25" t="s">
        <v>3469</v>
      </c>
      <c r="N487" s="26" t="s">
        <v>28</v>
      </c>
      <c r="O487" s="24" t="s">
        <v>3470</v>
      </c>
      <c r="P487" s="24" t="s">
        <v>3471</v>
      </c>
      <c r="Q487" s="27"/>
      <c r="R487" s="27"/>
      <c r="S487" s="28" t="s">
        <v>3472</v>
      </c>
      <c r="T487" s="8" t="s">
        <v>3473</v>
      </c>
      <c r="U487" s="29" t="s">
        <v>3466</v>
      </c>
      <c r="V487" s="24" t="str">
        <f>iferror(VLOOKUP(A487,'tagging table'!A:G,7,0),"")</f>
        <v>Dairy</v>
      </c>
    </row>
    <row r="488">
      <c r="A488" s="30">
        <v>51710.0</v>
      </c>
      <c r="B488" s="20" t="s">
        <v>3474</v>
      </c>
      <c r="C488" s="21">
        <v>0.11</v>
      </c>
      <c r="D488" s="21">
        <v>0.09999999</v>
      </c>
      <c r="E488" s="21">
        <v>0.11</v>
      </c>
      <c r="F488" s="22">
        <v>3.0</v>
      </c>
      <c r="G488" s="23"/>
      <c r="H488" s="32" t="s">
        <v>57</v>
      </c>
      <c r="I488" s="21" t="s">
        <v>3466</v>
      </c>
      <c r="J488" s="24"/>
      <c r="K488" s="24" t="s">
        <v>3475</v>
      </c>
      <c r="L488" s="20" t="s">
        <v>3476</v>
      </c>
      <c r="M488" s="25" t="s">
        <v>3477</v>
      </c>
      <c r="N488" s="26" t="s">
        <v>28</v>
      </c>
      <c r="O488" s="24" t="s">
        <v>2311</v>
      </c>
      <c r="P488" s="24" t="s">
        <v>3478</v>
      </c>
      <c r="Q488" s="27"/>
      <c r="R488" s="27"/>
      <c r="S488" s="28" t="s">
        <v>3479</v>
      </c>
      <c r="T488" s="8" t="s">
        <v>3480</v>
      </c>
      <c r="U488" s="29" t="s">
        <v>3466</v>
      </c>
      <c r="V488" s="24" t="str">
        <f>iferror(VLOOKUP(A488,'tagging table'!A:G,7,0),"")</f>
        <v>Dairy</v>
      </c>
    </row>
    <row r="489">
      <c r="A489" s="30">
        <v>4120573.0</v>
      </c>
      <c r="B489" s="20" t="s">
        <v>3481</v>
      </c>
      <c r="C489" s="21">
        <v>0.09999999</v>
      </c>
      <c r="D489" s="21">
        <v>0.09</v>
      </c>
      <c r="E489" s="21">
        <v>0.075</v>
      </c>
      <c r="F489" s="22">
        <v>4.0</v>
      </c>
      <c r="G489" s="23"/>
      <c r="H489" s="24" t="s">
        <v>3465</v>
      </c>
      <c r="I489" s="21" t="s">
        <v>3466</v>
      </c>
      <c r="J489" s="24"/>
      <c r="K489" s="24" t="s">
        <v>3482</v>
      </c>
      <c r="L489" s="20" t="s">
        <v>3483</v>
      </c>
      <c r="M489" s="25" t="s">
        <v>3484</v>
      </c>
      <c r="N489" s="26" t="s">
        <v>28</v>
      </c>
      <c r="O489" s="24" t="s">
        <v>3470</v>
      </c>
      <c r="P489" s="24" t="s">
        <v>3471</v>
      </c>
      <c r="Q489" s="27"/>
      <c r="R489" s="27"/>
      <c r="S489" s="31" t="s">
        <v>3485</v>
      </c>
      <c r="T489" s="33" t="s">
        <v>3486</v>
      </c>
      <c r="U489" s="29" t="s">
        <v>3466</v>
      </c>
      <c r="V489" s="24" t="str">
        <f>iferror(VLOOKUP(A489,'tagging table'!A:G,7,0),"")</f>
        <v>Dairy</v>
      </c>
    </row>
    <row r="490">
      <c r="A490" s="30">
        <v>4120634.0</v>
      </c>
      <c r="B490" s="20" t="s">
        <v>3487</v>
      </c>
      <c r="C490" s="21">
        <v>0.09999999</v>
      </c>
      <c r="D490" s="21">
        <v>0.09</v>
      </c>
      <c r="E490" s="21">
        <v>0.09999999</v>
      </c>
      <c r="F490" s="22">
        <v>3.0</v>
      </c>
      <c r="G490" s="23"/>
      <c r="H490" s="24" t="s">
        <v>3465</v>
      </c>
      <c r="I490" s="21" t="s">
        <v>3466</v>
      </c>
      <c r="J490" s="24"/>
      <c r="K490" s="24" t="s">
        <v>3488</v>
      </c>
      <c r="L490" s="20" t="s">
        <v>3489</v>
      </c>
      <c r="M490" s="25" t="s">
        <v>3490</v>
      </c>
      <c r="N490" s="26" t="s">
        <v>28</v>
      </c>
      <c r="O490" s="24" t="s">
        <v>3470</v>
      </c>
      <c r="P490" s="24" t="s">
        <v>3471</v>
      </c>
      <c r="Q490" s="27"/>
      <c r="R490" s="27"/>
      <c r="S490" s="31" t="s">
        <v>3491</v>
      </c>
      <c r="T490" s="33" t="s">
        <v>3492</v>
      </c>
      <c r="U490" s="29" t="s">
        <v>3466</v>
      </c>
      <c r="V490" s="24" t="str">
        <f>iferror(VLOOKUP(A490,'tagging table'!A:G,7,0),"")</f>
        <v>Dairy</v>
      </c>
    </row>
    <row r="491">
      <c r="A491" s="30">
        <v>4137809.0</v>
      </c>
      <c r="B491" s="20" t="s">
        <v>3493</v>
      </c>
      <c r="C491" s="21">
        <v>0.11</v>
      </c>
      <c r="D491" s="21">
        <v>0.09999999</v>
      </c>
      <c r="E491" s="21">
        <v>0.075</v>
      </c>
      <c r="F491" s="22">
        <v>4.0</v>
      </c>
      <c r="G491" s="23"/>
      <c r="H491" s="24" t="s">
        <v>3465</v>
      </c>
      <c r="I491" s="21" t="s">
        <v>3466</v>
      </c>
      <c r="J491" s="24"/>
      <c r="K491" s="24" t="s">
        <v>3494</v>
      </c>
      <c r="L491" s="20" t="s">
        <v>3495</v>
      </c>
      <c r="M491" s="25" t="s">
        <v>3496</v>
      </c>
      <c r="N491" s="26" t="s">
        <v>28</v>
      </c>
      <c r="O491" s="24" t="s">
        <v>2311</v>
      </c>
      <c r="P491" s="24" t="s">
        <v>2312</v>
      </c>
      <c r="Q491" s="27"/>
      <c r="R491" s="27"/>
      <c r="S491" s="28" t="s">
        <v>3497</v>
      </c>
      <c r="T491" s="8" t="s">
        <v>3498</v>
      </c>
      <c r="U491" s="29" t="s">
        <v>3466</v>
      </c>
      <c r="V491" s="24" t="str">
        <f>iferror(VLOOKUP(A491,'tagging table'!A:G,7,0),"")</f>
        <v>Dairy</v>
      </c>
    </row>
    <row r="492">
      <c r="A492" s="30">
        <v>48437.0</v>
      </c>
      <c r="B492" s="20" t="s">
        <v>3499</v>
      </c>
      <c r="C492" s="21">
        <v>0.11</v>
      </c>
      <c r="D492" s="21">
        <v>0.09999999</v>
      </c>
      <c r="E492" s="21">
        <v>0.065</v>
      </c>
      <c r="F492" s="22">
        <v>5.0</v>
      </c>
      <c r="G492" s="23"/>
      <c r="H492" s="24" t="s">
        <v>3465</v>
      </c>
      <c r="I492" s="21" t="s">
        <v>3466</v>
      </c>
      <c r="J492" s="24"/>
      <c r="K492" s="24" t="s">
        <v>3500</v>
      </c>
      <c r="L492" s="20" t="s">
        <v>3501</v>
      </c>
      <c r="M492" s="25" t="s">
        <v>3502</v>
      </c>
      <c r="N492" s="26" t="s">
        <v>28</v>
      </c>
      <c r="O492" s="24" t="s">
        <v>3470</v>
      </c>
      <c r="P492" s="24" t="s">
        <v>3503</v>
      </c>
      <c r="Q492" s="27"/>
      <c r="R492" s="27"/>
      <c r="S492" s="31" t="s">
        <v>3504</v>
      </c>
      <c r="T492" s="33" t="s">
        <v>3505</v>
      </c>
      <c r="U492" s="29" t="s">
        <v>3466</v>
      </c>
      <c r="V492" s="24" t="str">
        <f>iferror(VLOOKUP(A492,'tagging table'!A:G,7,0),"")</f>
        <v>Dairy</v>
      </c>
    </row>
    <row r="493">
      <c r="A493" s="30">
        <v>8464192.0</v>
      </c>
      <c r="B493" s="20" t="s">
        <v>3506</v>
      </c>
      <c r="C493" s="21">
        <v>0.055</v>
      </c>
      <c r="D493" s="21">
        <v>0.2</v>
      </c>
      <c r="E493" s="21">
        <v>0.055</v>
      </c>
      <c r="F493" s="22">
        <v>6.0</v>
      </c>
      <c r="G493" s="23"/>
      <c r="H493" s="24" t="s">
        <v>3507</v>
      </c>
      <c r="I493" s="21" t="s">
        <v>3508</v>
      </c>
      <c r="J493" s="20" t="s">
        <v>133</v>
      </c>
      <c r="K493" s="24" t="s">
        <v>3509</v>
      </c>
      <c r="L493" s="20" t="s">
        <v>3510</v>
      </c>
      <c r="M493" s="25" t="s">
        <v>3511</v>
      </c>
      <c r="N493" s="26" t="s">
        <v>28</v>
      </c>
      <c r="O493" s="24"/>
      <c r="P493" s="24"/>
      <c r="Q493" s="27"/>
      <c r="R493" s="27"/>
      <c r="S493" s="28"/>
      <c r="T493" s="8"/>
      <c r="U493" s="29"/>
      <c r="V493" s="21" t="s">
        <v>573</v>
      </c>
    </row>
    <row r="494">
      <c r="A494" s="30">
        <v>8464284.0</v>
      </c>
      <c r="B494" s="20" t="s">
        <v>3512</v>
      </c>
      <c r="C494" s="21">
        <v>0.055</v>
      </c>
      <c r="D494" s="21">
        <v>0.2</v>
      </c>
      <c r="E494" s="21">
        <v>0.055</v>
      </c>
      <c r="F494" s="22">
        <v>6.0</v>
      </c>
      <c r="G494" s="23"/>
      <c r="H494" s="24" t="s">
        <v>3507</v>
      </c>
      <c r="I494" s="21" t="s">
        <v>3508</v>
      </c>
      <c r="J494" s="20" t="s">
        <v>133</v>
      </c>
      <c r="K494" s="24" t="s">
        <v>3513</v>
      </c>
      <c r="L494" s="20" t="s">
        <v>3514</v>
      </c>
      <c r="M494" s="25" t="s">
        <v>3515</v>
      </c>
      <c r="N494" s="26" t="s">
        <v>28</v>
      </c>
      <c r="O494" s="24"/>
      <c r="P494" s="24"/>
      <c r="Q494" s="27"/>
      <c r="R494" s="27"/>
      <c r="S494" s="28"/>
      <c r="T494" s="8"/>
      <c r="U494" s="29"/>
      <c r="V494" s="21" t="s">
        <v>573</v>
      </c>
    </row>
    <row r="495">
      <c r="A495" s="30">
        <v>8464291.0</v>
      </c>
      <c r="B495" s="20" t="s">
        <v>3516</v>
      </c>
      <c r="C495" s="21">
        <v>0.055</v>
      </c>
      <c r="D495" s="21">
        <v>0.2</v>
      </c>
      <c r="E495" s="21">
        <v>0.055</v>
      </c>
      <c r="F495" s="22">
        <v>6.0</v>
      </c>
      <c r="G495" s="23"/>
      <c r="H495" s="24" t="s">
        <v>3507</v>
      </c>
      <c r="I495" s="21" t="s">
        <v>3508</v>
      </c>
      <c r="J495" s="20" t="s">
        <v>133</v>
      </c>
      <c r="K495" s="24" t="s">
        <v>3517</v>
      </c>
      <c r="L495" s="20" t="s">
        <v>3518</v>
      </c>
      <c r="M495" s="25" t="s">
        <v>3519</v>
      </c>
      <c r="N495" s="26" t="s">
        <v>28</v>
      </c>
      <c r="O495" s="24"/>
      <c r="P495" s="24"/>
      <c r="Q495" s="27"/>
      <c r="R495" s="27"/>
      <c r="S495" s="28"/>
      <c r="T495" s="8"/>
      <c r="U495" s="29"/>
      <c r="V495" s="21" t="s">
        <v>573</v>
      </c>
    </row>
    <row r="496">
      <c r="A496" s="30">
        <v>7.29010665626E12</v>
      </c>
      <c r="B496" s="20" t="s">
        <v>3520</v>
      </c>
      <c r="C496" s="21">
        <v>0.135</v>
      </c>
      <c r="D496" s="21">
        <v>0.2</v>
      </c>
      <c r="E496" s="21">
        <v>0.06</v>
      </c>
      <c r="F496" s="22">
        <v>5.0</v>
      </c>
      <c r="G496" s="23"/>
      <c r="H496" s="43" t="s">
        <v>3521</v>
      </c>
      <c r="I496" s="21" t="s">
        <v>3522</v>
      </c>
      <c r="J496" s="24"/>
      <c r="K496" s="24" t="s">
        <v>3523</v>
      </c>
      <c r="L496" s="20" t="s">
        <v>3524</v>
      </c>
      <c r="M496" s="25" t="s">
        <v>3525</v>
      </c>
      <c r="N496" s="26" t="s">
        <v>28</v>
      </c>
      <c r="O496" s="24" t="s">
        <v>109</v>
      </c>
      <c r="P496" s="24" t="s">
        <v>3526</v>
      </c>
      <c r="Q496" s="27"/>
      <c r="R496" s="27"/>
      <c r="S496" s="28" t="s">
        <v>3527</v>
      </c>
      <c r="T496" s="8" t="s">
        <v>3525</v>
      </c>
      <c r="U496" s="29" t="s">
        <v>3528</v>
      </c>
      <c r="V496" s="21" t="s">
        <v>113</v>
      </c>
    </row>
    <row r="497">
      <c r="A497" s="30">
        <v>7.290000066431E12</v>
      </c>
      <c r="B497" s="20" t="s">
        <v>3529</v>
      </c>
      <c r="C497" s="21">
        <v>0.14</v>
      </c>
      <c r="D497" s="21">
        <v>0.18</v>
      </c>
      <c r="E497" s="21">
        <v>0.012</v>
      </c>
      <c r="F497" s="22">
        <v>25.0</v>
      </c>
      <c r="G497" s="23"/>
      <c r="H497" s="43" t="s">
        <v>3530</v>
      </c>
      <c r="I497" s="21" t="s">
        <v>3531</v>
      </c>
      <c r="J497" s="24"/>
      <c r="K497" s="24" t="s">
        <v>3532</v>
      </c>
      <c r="L497" s="20" t="s">
        <v>3533</v>
      </c>
      <c r="M497" s="25" t="s">
        <v>3534</v>
      </c>
      <c r="N497" s="26" t="s">
        <v>37</v>
      </c>
      <c r="O497" s="24" t="s">
        <v>109</v>
      </c>
      <c r="P497" s="24" t="s">
        <v>3526</v>
      </c>
      <c r="Q497" s="27"/>
      <c r="R497" s="27"/>
      <c r="S497" s="28" t="s">
        <v>3535</v>
      </c>
      <c r="T497" s="8" t="s">
        <v>3536</v>
      </c>
      <c r="U497" s="29" t="e">
        <v>#N/A</v>
      </c>
      <c r="V497" s="21" t="s">
        <v>113</v>
      </c>
    </row>
    <row r="498">
      <c r="A498" s="30">
        <v>7.290110111564E12</v>
      </c>
      <c r="B498" s="20" t="s">
        <v>3537</v>
      </c>
      <c r="C498" s="21">
        <v>0.07</v>
      </c>
      <c r="D498" s="21">
        <v>0.24</v>
      </c>
      <c r="E498" s="21">
        <v>0.07</v>
      </c>
      <c r="F498" s="22">
        <v>4.0</v>
      </c>
      <c r="G498" s="23"/>
      <c r="H498" s="24" t="s">
        <v>3538</v>
      </c>
      <c r="I498" s="21" t="s">
        <v>3539</v>
      </c>
      <c r="J498" s="20" t="s">
        <v>1641</v>
      </c>
      <c r="K498" s="24" t="s">
        <v>3540</v>
      </c>
      <c r="L498" s="20" t="s">
        <v>3541</v>
      </c>
      <c r="M498" s="25" t="s">
        <v>3542</v>
      </c>
      <c r="N498" s="26" t="s">
        <v>28</v>
      </c>
      <c r="O498" s="24" t="s">
        <v>340</v>
      </c>
      <c r="P498" s="24" t="s">
        <v>1645</v>
      </c>
      <c r="Q498" s="27"/>
      <c r="R498" s="27"/>
      <c r="S498" s="28" t="s">
        <v>3543</v>
      </c>
      <c r="T498" s="33" t="s">
        <v>3544</v>
      </c>
      <c r="U498" s="29" t="s">
        <v>3539</v>
      </c>
      <c r="V498" s="24" t="str">
        <f>iferror(VLOOKUP(A498,'tagging table'!A:G,7,0),"")</f>
        <v>Drinks</v>
      </c>
    </row>
    <row r="499">
      <c r="A499" s="30">
        <v>7.290110111557E12</v>
      </c>
      <c r="B499" s="20" t="s">
        <v>3545</v>
      </c>
      <c r="C499" s="21">
        <v>0.07</v>
      </c>
      <c r="D499" s="21">
        <v>0.24</v>
      </c>
      <c r="E499" s="21">
        <v>0.07</v>
      </c>
      <c r="F499" s="22">
        <v>4.0</v>
      </c>
      <c r="G499" s="23"/>
      <c r="H499" s="24" t="s">
        <v>3538</v>
      </c>
      <c r="I499" s="21" t="s">
        <v>3539</v>
      </c>
      <c r="J499" s="20" t="s">
        <v>1641</v>
      </c>
      <c r="K499" s="24" t="s">
        <v>3546</v>
      </c>
      <c r="L499" s="20" t="s">
        <v>3547</v>
      </c>
      <c r="M499" s="25" t="s">
        <v>3548</v>
      </c>
      <c r="N499" s="26" t="s">
        <v>28</v>
      </c>
      <c r="O499" s="24" t="s">
        <v>340</v>
      </c>
      <c r="P499" s="24" t="s">
        <v>1645</v>
      </c>
      <c r="Q499" s="27"/>
      <c r="R499" s="27"/>
      <c r="S499" s="31" t="s">
        <v>3549</v>
      </c>
      <c r="T499" s="8" t="s">
        <v>3550</v>
      </c>
      <c r="U499" s="29" t="s">
        <v>3539</v>
      </c>
      <c r="V499" s="24" t="str">
        <f>iferror(VLOOKUP(A499,'tagging table'!A:G,7,0),"")</f>
        <v>Drinks</v>
      </c>
    </row>
    <row r="500">
      <c r="A500" s="30">
        <v>7.290106574977E12</v>
      </c>
      <c r="B500" s="20" t="s">
        <v>3551</v>
      </c>
      <c r="C500" s="21">
        <v>0.15</v>
      </c>
      <c r="D500" s="21">
        <v>0.23</v>
      </c>
      <c r="E500" s="21">
        <v>0.08</v>
      </c>
      <c r="F500" s="22">
        <v>4.0</v>
      </c>
      <c r="G500" s="23"/>
      <c r="H500" s="24" t="s">
        <v>1413</v>
      </c>
      <c r="I500" s="21" t="s">
        <v>3552</v>
      </c>
      <c r="J500" s="24"/>
      <c r="K500" s="24" t="s">
        <v>3553</v>
      </c>
      <c r="L500" s="20" t="s">
        <v>3554</v>
      </c>
      <c r="M500" s="25" t="s">
        <v>3555</v>
      </c>
      <c r="N500" s="26" t="s">
        <v>28</v>
      </c>
      <c r="O500" s="24" t="s">
        <v>1413</v>
      </c>
      <c r="P500" s="24" t="s">
        <v>3556</v>
      </c>
      <c r="Q500" s="27"/>
      <c r="R500" s="27"/>
      <c r="S500" s="28" t="s">
        <v>3557</v>
      </c>
      <c r="T500" s="8" t="s">
        <v>3555</v>
      </c>
      <c r="U500" s="29" t="s">
        <v>3558</v>
      </c>
      <c r="V500" s="21" t="s">
        <v>32</v>
      </c>
    </row>
    <row r="501">
      <c r="A501" s="30">
        <v>7.290000071008E12</v>
      </c>
      <c r="B501" s="20" t="s">
        <v>3559</v>
      </c>
      <c r="C501" s="21">
        <v>0.09999999</v>
      </c>
      <c r="D501" s="21">
        <v>0.19</v>
      </c>
      <c r="E501" s="21">
        <v>0.04</v>
      </c>
      <c r="F501" s="22">
        <v>8.0</v>
      </c>
      <c r="G501" s="23"/>
      <c r="H501" s="24" t="s">
        <v>1413</v>
      </c>
      <c r="I501" s="21" t="s">
        <v>3552</v>
      </c>
      <c r="J501" s="24"/>
      <c r="K501" s="24" t="s">
        <v>3560</v>
      </c>
      <c r="L501" s="20" t="s">
        <v>3561</v>
      </c>
      <c r="M501" s="25" t="s">
        <v>3562</v>
      </c>
      <c r="N501" s="26" t="s">
        <v>37</v>
      </c>
      <c r="O501" s="24" t="s">
        <v>1413</v>
      </c>
      <c r="P501" s="24" t="s">
        <v>3563</v>
      </c>
      <c r="Q501" s="27"/>
      <c r="R501" s="27"/>
      <c r="S501" s="28" t="s">
        <v>3564</v>
      </c>
      <c r="T501" s="8" t="s">
        <v>3565</v>
      </c>
      <c r="U501" s="29" t="e">
        <v>#N/A</v>
      </c>
      <c r="V501" s="21" t="s">
        <v>32</v>
      </c>
    </row>
    <row r="502">
      <c r="A502" s="30">
        <v>7.290000076133E12</v>
      </c>
      <c r="B502" s="20" t="s">
        <v>3566</v>
      </c>
      <c r="C502" s="21">
        <v>0.15</v>
      </c>
      <c r="D502" s="21">
        <v>0.23</v>
      </c>
      <c r="E502" s="21">
        <v>0.085</v>
      </c>
      <c r="F502" s="22">
        <v>4.0</v>
      </c>
      <c r="G502" s="23"/>
      <c r="H502" s="24" t="s">
        <v>1413</v>
      </c>
      <c r="I502" s="21" t="s">
        <v>3552</v>
      </c>
      <c r="J502" s="24"/>
      <c r="K502" s="24" t="s">
        <v>3567</v>
      </c>
      <c r="L502" s="20" t="s">
        <v>3568</v>
      </c>
      <c r="M502" s="25" t="s">
        <v>3569</v>
      </c>
      <c r="N502" s="26" t="s">
        <v>37</v>
      </c>
      <c r="O502" s="24" t="s">
        <v>1413</v>
      </c>
      <c r="P502" s="24" t="s">
        <v>3570</v>
      </c>
      <c r="Q502" s="27"/>
      <c r="R502" s="27"/>
      <c r="S502" s="28" t="s">
        <v>3571</v>
      </c>
      <c r="T502" s="8" t="s">
        <v>3572</v>
      </c>
      <c r="U502" s="29" t="e">
        <v>#N/A</v>
      </c>
      <c r="V502" s="21" t="s">
        <v>32</v>
      </c>
    </row>
    <row r="503">
      <c r="A503" s="30">
        <v>7.290000076126E12</v>
      </c>
      <c r="B503" s="20" t="s">
        <v>3573</v>
      </c>
      <c r="C503" s="21">
        <v>0.115</v>
      </c>
      <c r="D503" s="21">
        <v>0.195</v>
      </c>
      <c r="E503" s="21">
        <v>0.03</v>
      </c>
      <c r="F503" s="22">
        <v>10.0</v>
      </c>
      <c r="G503" s="23"/>
      <c r="H503" s="24" t="s">
        <v>1413</v>
      </c>
      <c r="I503" s="21" t="s">
        <v>3552</v>
      </c>
      <c r="J503" s="24"/>
      <c r="K503" s="24" t="s">
        <v>3574</v>
      </c>
      <c r="L503" s="20" t="s">
        <v>3575</v>
      </c>
      <c r="M503" s="25" t="s">
        <v>3576</v>
      </c>
      <c r="N503" s="26" t="s">
        <v>37</v>
      </c>
      <c r="O503" s="24" t="s">
        <v>1413</v>
      </c>
      <c r="P503" s="24" t="s">
        <v>3563</v>
      </c>
      <c r="Q503" s="27"/>
      <c r="R503" s="27"/>
      <c r="S503" s="28" t="s">
        <v>3577</v>
      </c>
      <c r="T503" s="8" t="s">
        <v>3578</v>
      </c>
      <c r="U503" s="29" t="e">
        <v>#N/A</v>
      </c>
      <c r="V503" s="21" t="s">
        <v>32</v>
      </c>
    </row>
    <row r="504">
      <c r="A504" s="30">
        <v>7.290112966025E12</v>
      </c>
      <c r="B504" s="20" t="s">
        <v>3579</v>
      </c>
      <c r="C504" s="21">
        <v>0.12</v>
      </c>
      <c r="D504" s="21">
        <v>0.185</v>
      </c>
      <c r="E504" s="21">
        <v>0.05</v>
      </c>
      <c r="F504" s="22">
        <v>6.0</v>
      </c>
      <c r="G504" s="23"/>
      <c r="H504" s="24" t="s">
        <v>1413</v>
      </c>
      <c r="I504" s="21" t="s">
        <v>3552</v>
      </c>
      <c r="J504" s="24"/>
      <c r="K504" s="24" t="s">
        <v>3580</v>
      </c>
      <c r="L504" s="20" t="s">
        <v>3581</v>
      </c>
      <c r="M504" s="25" t="s">
        <v>3582</v>
      </c>
      <c r="N504" s="26" t="s">
        <v>28</v>
      </c>
      <c r="O504" s="24" t="s">
        <v>1413</v>
      </c>
      <c r="P504" s="24" t="s">
        <v>3563</v>
      </c>
      <c r="Q504" s="27"/>
      <c r="R504" s="27"/>
      <c r="S504" s="28" t="s">
        <v>3583</v>
      </c>
      <c r="T504" s="8" t="s">
        <v>3582</v>
      </c>
      <c r="U504" s="29" t="s">
        <v>3558</v>
      </c>
      <c r="V504" s="21" t="s">
        <v>32</v>
      </c>
    </row>
    <row r="505">
      <c r="A505" s="30">
        <v>7.2901079331E12</v>
      </c>
      <c r="B505" s="20" t="s">
        <v>3584</v>
      </c>
      <c r="C505" s="21">
        <v>0.09999999</v>
      </c>
      <c r="D505" s="21">
        <v>0.26</v>
      </c>
      <c r="E505" s="21">
        <v>0.09999999</v>
      </c>
      <c r="F505" s="22">
        <v>3.0</v>
      </c>
      <c r="G505" s="23"/>
      <c r="H505" s="24" t="s">
        <v>1297</v>
      </c>
      <c r="I505" s="21" t="s">
        <v>1298</v>
      </c>
      <c r="J505" s="20" t="s">
        <v>1299</v>
      </c>
      <c r="K505" s="24" t="s">
        <v>3585</v>
      </c>
      <c r="L505" s="20" t="s">
        <v>3586</v>
      </c>
      <c r="M505" s="25" t="s">
        <v>3587</v>
      </c>
      <c r="N505" s="26" t="s">
        <v>28</v>
      </c>
      <c r="O505" s="24" t="s">
        <v>954</v>
      </c>
      <c r="P505" s="24" t="s">
        <v>3588</v>
      </c>
      <c r="Q505" s="27"/>
      <c r="R505" s="27"/>
      <c r="S505" s="31" t="s">
        <v>3589</v>
      </c>
      <c r="T505" s="33" t="s">
        <v>3590</v>
      </c>
      <c r="U505" s="29" t="s">
        <v>1306</v>
      </c>
      <c r="V505" s="24" t="str">
        <f>iferror(VLOOKUP(A505,'tagging table'!A:G,7,0),"")</f>
        <v>Pastry</v>
      </c>
    </row>
    <row r="506">
      <c r="A506" s="30">
        <v>7.290107933117E12</v>
      </c>
      <c r="B506" s="20" t="s">
        <v>3591</v>
      </c>
      <c r="C506" s="21">
        <v>0.09999999</v>
      </c>
      <c r="D506" s="21">
        <v>0.26</v>
      </c>
      <c r="E506" s="21">
        <v>0.09999999</v>
      </c>
      <c r="F506" s="22">
        <v>3.0</v>
      </c>
      <c r="G506" s="23"/>
      <c r="H506" s="24" t="s">
        <v>1297</v>
      </c>
      <c r="I506" s="21" t="s">
        <v>1298</v>
      </c>
      <c r="J506" s="20" t="s">
        <v>1299</v>
      </c>
      <c r="K506" s="24" t="s">
        <v>3592</v>
      </c>
      <c r="L506" s="20" t="s">
        <v>3593</v>
      </c>
      <c r="M506" s="25" t="s">
        <v>3594</v>
      </c>
      <c r="N506" s="26" t="s">
        <v>28</v>
      </c>
      <c r="O506" s="24" t="s">
        <v>954</v>
      </c>
      <c r="P506" s="24" t="s">
        <v>3588</v>
      </c>
      <c r="Q506" s="27"/>
      <c r="R506" s="27"/>
      <c r="S506" s="31" t="s">
        <v>3595</v>
      </c>
      <c r="T506" s="8" t="s">
        <v>3596</v>
      </c>
      <c r="U506" s="29" t="s">
        <v>1306</v>
      </c>
      <c r="V506" s="24" t="str">
        <f>iferror(VLOOKUP(A506,'tagging table'!A:G,7,0),"")</f>
        <v>Pastry</v>
      </c>
    </row>
    <row r="507">
      <c r="A507" s="30">
        <v>7.290105968777E12</v>
      </c>
      <c r="B507" s="20" t="s">
        <v>3597</v>
      </c>
      <c r="C507" s="21">
        <v>0.13</v>
      </c>
      <c r="D507" s="21">
        <v>0.18</v>
      </c>
      <c r="E507" s="21">
        <v>0.03</v>
      </c>
      <c r="F507" s="22">
        <v>10.0</v>
      </c>
      <c r="G507" s="23"/>
      <c r="H507" s="24" t="s">
        <v>1297</v>
      </c>
      <c r="I507" s="21" t="s">
        <v>1298</v>
      </c>
      <c r="J507" s="20" t="s">
        <v>1299</v>
      </c>
      <c r="K507" s="24" t="s">
        <v>3598</v>
      </c>
      <c r="L507" s="20" t="s">
        <v>3599</v>
      </c>
      <c r="M507" s="25" t="s">
        <v>3600</v>
      </c>
      <c r="N507" s="26" t="s">
        <v>28</v>
      </c>
      <c r="O507" s="24" t="s">
        <v>954</v>
      </c>
      <c r="P507" s="24" t="s">
        <v>1303</v>
      </c>
      <c r="Q507" s="27"/>
      <c r="R507" s="27"/>
      <c r="S507" s="28" t="s">
        <v>3601</v>
      </c>
      <c r="T507" s="33" t="s">
        <v>3602</v>
      </c>
      <c r="U507" s="29" t="s">
        <v>1306</v>
      </c>
      <c r="V507" s="24" t="str">
        <f>iferror(VLOOKUP(A507,'tagging table'!A:G,7,0),"")</f>
        <v>Pastry</v>
      </c>
    </row>
    <row r="508">
      <c r="A508" s="30">
        <v>7.290107953917E12</v>
      </c>
      <c r="B508" s="20" t="s">
        <v>3603</v>
      </c>
      <c r="C508" s="21">
        <v>0.09999999</v>
      </c>
      <c r="D508" s="21">
        <v>0.26</v>
      </c>
      <c r="E508" s="21">
        <v>0.09999999</v>
      </c>
      <c r="F508" s="22">
        <v>3.0</v>
      </c>
      <c r="G508" s="23"/>
      <c r="H508" s="24" t="s">
        <v>1297</v>
      </c>
      <c r="I508" s="21" t="s">
        <v>1298</v>
      </c>
      <c r="J508" s="20" t="s">
        <v>1299</v>
      </c>
      <c r="K508" s="24" t="s">
        <v>3604</v>
      </c>
      <c r="L508" s="20" t="s">
        <v>3605</v>
      </c>
      <c r="M508" s="25" t="s">
        <v>3606</v>
      </c>
      <c r="N508" s="26" t="s">
        <v>28</v>
      </c>
      <c r="O508" s="24" t="s">
        <v>954</v>
      </c>
      <c r="P508" s="24" t="s">
        <v>3588</v>
      </c>
      <c r="Q508" s="27"/>
      <c r="R508" s="27"/>
      <c r="S508" s="31" t="s">
        <v>3607</v>
      </c>
      <c r="T508" s="8" t="s">
        <v>3608</v>
      </c>
      <c r="U508" s="29" t="s">
        <v>1306</v>
      </c>
      <c r="V508" s="24" t="str">
        <f>iferror(VLOOKUP(A508,'tagging table'!A:G,7,0),"")</f>
        <v>Pastry</v>
      </c>
    </row>
    <row r="509">
      <c r="A509" s="30">
        <v>7.290106526822E12</v>
      </c>
      <c r="B509" s="20" t="s">
        <v>3609</v>
      </c>
      <c r="C509" s="21">
        <v>0.13</v>
      </c>
      <c r="D509" s="21">
        <v>0.18</v>
      </c>
      <c r="E509" s="21">
        <v>0.03</v>
      </c>
      <c r="F509" s="22">
        <v>10.0</v>
      </c>
      <c r="G509" s="23"/>
      <c r="H509" s="24" t="s">
        <v>1297</v>
      </c>
      <c r="I509" s="21" t="s">
        <v>1298</v>
      </c>
      <c r="J509" s="20" t="s">
        <v>1299</v>
      </c>
      <c r="K509" s="24" t="s">
        <v>3610</v>
      </c>
      <c r="L509" s="20" t="s">
        <v>3611</v>
      </c>
      <c r="M509" s="25" t="s">
        <v>3612</v>
      </c>
      <c r="N509" s="26" t="s">
        <v>28</v>
      </c>
      <c r="O509" s="24" t="s">
        <v>954</v>
      </c>
      <c r="P509" s="24" t="s">
        <v>1303</v>
      </c>
      <c r="Q509" s="27"/>
      <c r="R509" s="27"/>
      <c r="S509" s="28" t="s">
        <v>3613</v>
      </c>
      <c r="T509" s="8" t="s">
        <v>3614</v>
      </c>
      <c r="U509" s="29" t="s">
        <v>1306</v>
      </c>
      <c r="V509" s="24" t="str">
        <f>iferror(VLOOKUP(A509,'tagging table'!A:G,7,0),"")</f>
        <v>Pastry</v>
      </c>
    </row>
    <row r="510">
      <c r="A510" s="30">
        <v>2043126.0</v>
      </c>
      <c r="B510" s="20" t="s">
        <v>3615</v>
      </c>
      <c r="C510" s="21">
        <v>0.15</v>
      </c>
      <c r="D510" s="21">
        <v>0.09999999</v>
      </c>
      <c r="E510" s="21">
        <v>0.03</v>
      </c>
      <c r="F510" s="22">
        <v>10.0</v>
      </c>
      <c r="G510" s="23"/>
      <c r="H510" s="24" t="s">
        <v>3616</v>
      </c>
      <c r="I510" s="21" t="s">
        <v>3617</v>
      </c>
      <c r="J510" s="20" t="s">
        <v>3275</v>
      </c>
      <c r="K510" s="24" t="s">
        <v>3618</v>
      </c>
      <c r="L510" s="20" t="s">
        <v>3619</v>
      </c>
      <c r="M510" s="25" t="s">
        <v>3620</v>
      </c>
      <c r="N510" s="26" t="s">
        <v>28</v>
      </c>
      <c r="O510" s="24" t="s">
        <v>954</v>
      </c>
      <c r="P510" s="24" t="s">
        <v>1303</v>
      </c>
      <c r="Q510" s="27"/>
      <c r="R510" s="27"/>
      <c r="S510" s="28" t="s">
        <v>3621</v>
      </c>
      <c r="T510" s="8" t="s">
        <v>3622</v>
      </c>
      <c r="U510" s="29" t="s">
        <v>3623</v>
      </c>
      <c r="V510" s="24" t="str">
        <f>iferror(VLOOKUP(A510,'tagging table'!A:G,7,0),"")</f>
        <v>Pastry</v>
      </c>
    </row>
    <row r="511">
      <c r="A511" s="30">
        <v>2043065.0</v>
      </c>
      <c r="B511" s="20" t="s">
        <v>3624</v>
      </c>
      <c r="C511" s="21">
        <v>0.12</v>
      </c>
      <c r="D511" s="21">
        <v>0.14</v>
      </c>
      <c r="E511" s="21">
        <v>0.03</v>
      </c>
      <c r="F511" s="22">
        <v>10.0</v>
      </c>
      <c r="G511" s="23"/>
      <c r="H511" s="24" t="s">
        <v>3616</v>
      </c>
      <c r="I511" s="21" t="s">
        <v>3617</v>
      </c>
      <c r="J511" s="20" t="s">
        <v>3275</v>
      </c>
      <c r="K511" s="24" t="s">
        <v>3625</v>
      </c>
      <c r="L511" s="20" t="s">
        <v>3626</v>
      </c>
      <c r="M511" s="25" t="s">
        <v>3627</v>
      </c>
      <c r="N511" s="26" t="s">
        <v>28</v>
      </c>
      <c r="O511" s="24" t="s">
        <v>954</v>
      </c>
      <c r="P511" s="24" t="s">
        <v>1303</v>
      </c>
      <c r="Q511" s="27"/>
      <c r="R511" s="27"/>
      <c r="S511" s="31" t="s">
        <v>3628</v>
      </c>
      <c r="T511" s="8" t="s">
        <v>3629</v>
      </c>
      <c r="U511" s="29" t="s">
        <v>3623</v>
      </c>
      <c r="V511" s="24" t="str">
        <f>iferror(VLOOKUP(A511,'tagging table'!A:G,7,0),"")</f>
        <v>Pastry</v>
      </c>
    </row>
    <row r="512">
      <c r="A512" s="30">
        <v>2043034.0</v>
      </c>
      <c r="B512" s="20" t="s">
        <v>3630</v>
      </c>
      <c r="C512" s="21">
        <v>0.13</v>
      </c>
      <c r="D512" s="21">
        <v>0.09</v>
      </c>
      <c r="E512" s="21">
        <v>0.03</v>
      </c>
      <c r="F512" s="22">
        <v>10.0</v>
      </c>
      <c r="G512" s="23"/>
      <c r="H512" s="24" t="s">
        <v>3616</v>
      </c>
      <c r="I512" s="21" t="s">
        <v>3617</v>
      </c>
      <c r="J512" s="20" t="s">
        <v>3275</v>
      </c>
      <c r="K512" s="24" t="s">
        <v>3631</v>
      </c>
      <c r="L512" s="20" t="s">
        <v>3632</v>
      </c>
      <c r="M512" s="25" t="s">
        <v>3633</v>
      </c>
      <c r="N512" s="26" t="s">
        <v>28</v>
      </c>
      <c r="O512" s="24" t="s">
        <v>954</v>
      </c>
      <c r="P512" s="24" t="s">
        <v>1303</v>
      </c>
      <c r="Q512" s="27"/>
      <c r="R512" s="27"/>
      <c r="S512" s="28" t="s">
        <v>3634</v>
      </c>
      <c r="T512" s="8" t="s">
        <v>3635</v>
      </c>
      <c r="U512" s="29" t="s">
        <v>3623</v>
      </c>
      <c r="V512" s="24" t="str">
        <f>iferror(VLOOKUP(A512,'tagging table'!A:G,7,0),"")</f>
        <v>Pastry</v>
      </c>
    </row>
    <row r="513">
      <c r="A513" s="30">
        <v>2043072.0</v>
      </c>
      <c r="B513" s="20" t="s">
        <v>3636</v>
      </c>
      <c r="C513" s="21">
        <v>0.12</v>
      </c>
      <c r="D513" s="21">
        <v>0.14</v>
      </c>
      <c r="E513" s="21">
        <v>0.03</v>
      </c>
      <c r="F513" s="22">
        <v>10.0</v>
      </c>
      <c r="G513" s="23"/>
      <c r="H513" s="24" t="s">
        <v>3616</v>
      </c>
      <c r="I513" s="21" t="s">
        <v>3617</v>
      </c>
      <c r="J513" s="20" t="s">
        <v>3275</v>
      </c>
      <c r="K513" s="24" t="s">
        <v>3637</v>
      </c>
      <c r="L513" s="20" t="s">
        <v>3638</v>
      </c>
      <c r="M513" s="25" t="s">
        <v>3639</v>
      </c>
      <c r="N513" s="26" t="s">
        <v>28</v>
      </c>
      <c r="O513" s="24" t="s">
        <v>954</v>
      </c>
      <c r="P513" s="24" t="s">
        <v>1303</v>
      </c>
      <c r="Q513" s="27"/>
      <c r="R513" s="27"/>
      <c r="S513" s="28" t="s">
        <v>3640</v>
      </c>
      <c r="T513" s="8" t="s">
        <v>3641</v>
      </c>
      <c r="U513" s="29" t="s">
        <v>3623</v>
      </c>
      <c r="V513" s="24" t="str">
        <f>iferror(VLOOKUP(A513,'tagging table'!A:G,7,0),"")</f>
        <v>Pastry</v>
      </c>
    </row>
    <row r="514">
      <c r="A514" s="30">
        <v>2043058.0</v>
      </c>
      <c r="B514" s="20" t="s">
        <v>3642</v>
      </c>
      <c r="C514" s="21">
        <v>0.13</v>
      </c>
      <c r="D514" s="21">
        <v>0.09</v>
      </c>
      <c r="E514" s="21">
        <v>0.03</v>
      </c>
      <c r="F514" s="22">
        <v>10.0</v>
      </c>
      <c r="G514" s="23"/>
      <c r="H514" s="24" t="s">
        <v>3616</v>
      </c>
      <c r="I514" s="21" t="s">
        <v>3617</v>
      </c>
      <c r="J514" s="20" t="s">
        <v>3275</v>
      </c>
      <c r="K514" s="24" t="s">
        <v>3643</v>
      </c>
      <c r="L514" s="20" t="s">
        <v>3644</v>
      </c>
      <c r="M514" s="25" t="s">
        <v>3645</v>
      </c>
      <c r="N514" s="26" t="s">
        <v>28</v>
      </c>
      <c r="O514" s="24" t="s">
        <v>954</v>
      </c>
      <c r="P514" s="24" t="s">
        <v>1303</v>
      </c>
      <c r="Q514" s="27"/>
      <c r="R514" s="27"/>
      <c r="S514" s="28" t="s">
        <v>3646</v>
      </c>
      <c r="T514" s="8" t="s">
        <v>3647</v>
      </c>
      <c r="U514" s="29" t="s">
        <v>3623</v>
      </c>
      <c r="V514" s="24" t="str">
        <f>iferror(VLOOKUP(A514,'tagging table'!A:G,7,0),"")</f>
        <v>Pastry</v>
      </c>
    </row>
    <row r="515">
      <c r="A515" s="30">
        <v>2043096.0</v>
      </c>
      <c r="B515" s="20" t="s">
        <v>3648</v>
      </c>
      <c r="C515" s="21">
        <v>0.12</v>
      </c>
      <c r="D515" s="21">
        <v>0.14</v>
      </c>
      <c r="E515" s="21">
        <v>0.03</v>
      </c>
      <c r="F515" s="22">
        <v>10.0</v>
      </c>
      <c r="G515" s="23"/>
      <c r="H515" s="24" t="s">
        <v>3616</v>
      </c>
      <c r="I515" s="21" t="s">
        <v>3617</v>
      </c>
      <c r="J515" s="20" t="s">
        <v>3275</v>
      </c>
      <c r="K515" s="24" t="s">
        <v>3649</v>
      </c>
      <c r="L515" s="20" t="s">
        <v>3650</v>
      </c>
      <c r="M515" s="25" t="s">
        <v>3651</v>
      </c>
      <c r="N515" s="26" t="s">
        <v>28</v>
      </c>
      <c r="O515" s="24" t="s">
        <v>954</v>
      </c>
      <c r="P515" s="24" t="s">
        <v>1303</v>
      </c>
      <c r="Q515" s="27"/>
      <c r="R515" s="27"/>
      <c r="S515" s="28" t="s">
        <v>3652</v>
      </c>
      <c r="T515" s="8" t="s">
        <v>3653</v>
      </c>
      <c r="U515" s="29" t="s">
        <v>3623</v>
      </c>
      <c r="V515" s="24" t="str">
        <f>iferror(VLOOKUP(A515,'tagging table'!A:G,7,0),"")</f>
        <v>Pastry</v>
      </c>
    </row>
    <row r="516">
      <c r="A516" s="30">
        <v>2043812.0</v>
      </c>
      <c r="B516" s="20" t="s">
        <v>3654</v>
      </c>
      <c r="C516" s="21">
        <v>0.15</v>
      </c>
      <c r="D516" s="21">
        <v>0.09999999</v>
      </c>
      <c r="E516" s="21">
        <v>0.03</v>
      </c>
      <c r="F516" s="22">
        <v>10.0</v>
      </c>
      <c r="G516" s="23"/>
      <c r="H516" s="24" t="s">
        <v>3616</v>
      </c>
      <c r="I516" s="21" t="s">
        <v>3617</v>
      </c>
      <c r="J516" s="20" t="s">
        <v>3275</v>
      </c>
      <c r="K516" s="24" t="s">
        <v>3655</v>
      </c>
      <c r="L516" s="20" t="s">
        <v>3656</v>
      </c>
      <c r="M516" s="25" t="s">
        <v>3657</v>
      </c>
      <c r="N516" s="26" t="s">
        <v>28</v>
      </c>
      <c r="O516" s="24" t="s">
        <v>954</v>
      </c>
      <c r="P516" s="24" t="s">
        <v>1303</v>
      </c>
      <c r="Q516" s="27"/>
      <c r="R516" s="27"/>
      <c r="S516" s="28" t="s">
        <v>3658</v>
      </c>
      <c r="T516" s="8" t="s">
        <v>3659</v>
      </c>
      <c r="U516" s="29" t="s">
        <v>3623</v>
      </c>
      <c r="V516" s="24" t="str">
        <f>iferror(VLOOKUP(A516,'tagging table'!A:G,7,0),"")</f>
        <v>Pastry</v>
      </c>
    </row>
    <row r="517">
      <c r="A517" s="30">
        <v>7.290000068343E12</v>
      </c>
      <c r="B517" s="20" t="s">
        <v>3660</v>
      </c>
      <c r="C517" s="21">
        <v>0.09</v>
      </c>
      <c r="D517" s="21">
        <v>0.235</v>
      </c>
      <c r="E517" s="21">
        <v>0.09</v>
      </c>
      <c r="F517" s="22">
        <v>3.0</v>
      </c>
      <c r="G517" s="23"/>
      <c r="H517" s="24" t="s">
        <v>3616</v>
      </c>
      <c r="I517" s="21" t="s">
        <v>3661</v>
      </c>
      <c r="J517" s="20" t="s">
        <v>950</v>
      </c>
      <c r="K517" s="24" t="s">
        <v>3662</v>
      </c>
      <c r="L517" s="20" t="s">
        <v>3663</v>
      </c>
      <c r="M517" s="25" t="s">
        <v>3664</v>
      </c>
      <c r="N517" s="26" t="s">
        <v>37</v>
      </c>
      <c r="O517" s="24" t="s">
        <v>954</v>
      </c>
      <c r="P517" s="24" t="s">
        <v>1303</v>
      </c>
      <c r="Q517" s="27"/>
      <c r="R517" s="27"/>
      <c r="S517" s="28" t="s">
        <v>3665</v>
      </c>
      <c r="T517" s="8" t="s">
        <v>3666</v>
      </c>
      <c r="U517" s="29" t="e">
        <v>#N/A</v>
      </c>
      <c r="V517" s="21" t="s">
        <v>957</v>
      </c>
    </row>
    <row r="518">
      <c r="A518" s="30">
        <v>7.290000060071E12</v>
      </c>
      <c r="B518" s="20" t="s">
        <v>3667</v>
      </c>
      <c r="C518" s="21">
        <v>0.14</v>
      </c>
      <c r="D518" s="21">
        <v>0.22</v>
      </c>
      <c r="E518" s="21">
        <v>0.05</v>
      </c>
      <c r="F518" s="22">
        <v>6.0</v>
      </c>
      <c r="G518" s="23"/>
      <c r="H518" s="24" t="s">
        <v>3616</v>
      </c>
      <c r="I518" s="21" t="s">
        <v>3661</v>
      </c>
      <c r="J518" s="20" t="s">
        <v>950</v>
      </c>
      <c r="K518" s="24" t="s">
        <v>3668</v>
      </c>
      <c r="L518" s="20" t="s">
        <v>3669</v>
      </c>
      <c r="M518" s="25" t="s">
        <v>3670</v>
      </c>
      <c r="N518" s="26" t="s">
        <v>37</v>
      </c>
      <c r="O518" s="24" t="s">
        <v>954</v>
      </c>
      <c r="P518" s="24" t="s">
        <v>1303</v>
      </c>
      <c r="Q518" s="27"/>
      <c r="R518" s="27"/>
      <c r="S518" s="28" t="s">
        <v>3671</v>
      </c>
      <c r="T518" s="8" t="s">
        <v>3672</v>
      </c>
      <c r="U518" s="29" t="e">
        <v>#N/A</v>
      </c>
      <c r="V518" s="21" t="s">
        <v>957</v>
      </c>
    </row>
    <row r="519">
      <c r="A519" s="30">
        <v>7.290000078762E12</v>
      </c>
      <c r="B519" s="20" t="s">
        <v>3673</v>
      </c>
      <c r="C519" s="21">
        <v>0.14</v>
      </c>
      <c r="D519" s="21">
        <v>0.22</v>
      </c>
      <c r="E519" s="21">
        <v>0.05</v>
      </c>
      <c r="F519" s="22">
        <v>6.0</v>
      </c>
      <c r="G519" s="23"/>
      <c r="H519" s="24" t="s">
        <v>3616</v>
      </c>
      <c r="I519" s="21" t="s">
        <v>3661</v>
      </c>
      <c r="J519" s="20" t="s">
        <v>950</v>
      </c>
      <c r="K519" s="24" t="s">
        <v>3674</v>
      </c>
      <c r="L519" s="20" t="s">
        <v>3675</v>
      </c>
      <c r="M519" s="25" t="s">
        <v>3676</v>
      </c>
      <c r="N519" s="26" t="s">
        <v>37</v>
      </c>
      <c r="O519" s="24" t="s">
        <v>954</v>
      </c>
      <c r="P519" s="24" t="s">
        <v>1303</v>
      </c>
      <c r="Q519" s="27"/>
      <c r="R519" s="27"/>
      <c r="S519" s="28" t="s">
        <v>3677</v>
      </c>
      <c r="T519" s="8" t="s">
        <v>3678</v>
      </c>
      <c r="U519" s="29" t="e">
        <v>#N/A</v>
      </c>
      <c r="V519" s="21" t="s">
        <v>957</v>
      </c>
    </row>
    <row r="520">
      <c r="A520" s="30">
        <v>2043188.0</v>
      </c>
      <c r="B520" s="20" t="s">
        <v>3679</v>
      </c>
      <c r="C520" s="21">
        <v>0.13</v>
      </c>
      <c r="D520" s="21">
        <v>0.17</v>
      </c>
      <c r="E520" s="21">
        <v>0.03</v>
      </c>
      <c r="F520" s="22">
        <v>10.0</v>
      </c>
      <c r="G520" s="23"/>
      <c r="H520" s="24" t="s">
        <v>3616</v>
      </c>
      <c r="I520" s="21" t="s">
        <v>3617</v>
      </c>
      <c r="J520" s="20" t="s">
        <v>3275</v>
      </c>
      <c r="K520" s="24" t="s">
        <v>3680</v>
      </c>
      <c r="L520" s="20" t="s">
        <v>3681</v>
      </c>
      <c r="M520" s="25" t="s">
        <v>3682</v>
      </c>
      <c r="N520" s="26" t="s">
        <v>28</v>
      </c>
      <c r="O520" s="24" t="s">
        <v>954</v>
      </c>
      <c r="P520" s="24" t="s">
        <v>1303</v>
      </c>
      <c r="Q520" s="27"/>
      <c r="R520" s="27"/>
      <c r="S520" s="28" t="s">
        <v>3683</v>
      </c>
      <c r="T520" s="8" t="s">
        <v>3684</v>
      </c>
      <c r="U520" s="29" t="s">
        <v>3623</v>
      </c>
      <c r="V520" s="24" t="str">
        <f>iferror(VLOOKUP(A520,'tagging table'!A:G,7,0),"")</f>
        <v>Pastry</v>
      </c>
    </row>
    <row r="521">
      <c r="A521" s="30">
        <v>2043782.0</v>
      </c>
      <c r="B521" s="20" t="s">
        <v>3685</v>
      </c>
      <c r="C521" s="21">
        <v>0.13</v>
      </c>
      <c r="D521" s="21">
        <v>0.17</v>
      </c>
      <c r="E521" s="21">
        <v>0.03</v>
      </c>
      <c r="F521" s="22">
        <v>10.0</v>
      </c>
      <c r="G521" s="23"/>
      <c r="H521" s="24" t="s">
        <v>3616</v>
      </c>
      <c r="I521" s="21" t="s">
        <v>3617</v>
      </c>
      <c r="J521" s="20" t="s">
        <v>3275</v>
      </c>
      <c r="K521" s="24" t="s">
        <v>3686</v>
      </c>
      <c r="L521" s="20" t="s">
        <v>3687</v>
      </c>
      <c r="M521" s="25" t="s">
        <v>3688</v>
      </c>
      <c r="N521" s="26" t="s">
        <v>28</v>
      </c>
      <c r="O521" s="24" t="s">
        <v>954</v>
      </c>
      <c r="P521" s="24" t="s">
        <v>1303</v>
      </c>
      <c r="Q521" s="27"/>
      <c r="R521" s="27"/>
      <c r="S521" s="28" t="s">
        <v>3689</v>
      </c>
      <c r="T521" s="8" t="s">
        <v>3690</v>
      </c>
      <c r="U521" s="29" t="s">
        <v>3623</v>
      </c>
      <c r="V521" s="24" t="str">
        <f>iferror(VLOOKUP(A521,'tagging table'!A:G,7,0),"")</f>
        <v>Pastry</v>
      </c>
    </row>
    <row r="522">
      <c r="A522" s="30">
        <v>7.290006984647E12</v>
      </c>
      <c r="B522" s="20" t="s">
        <v>3691</v>
      </c>
      <c r="C522" s="21">
        <v>0.14</v>
      </c>
      <c r="D522" s="21">
        <v>0.22</v>
      </c>
      <c r="E522" s="21">
        <v>0.05</v>
      </c>
      <c r="F522" s="22">
        <v>6.0</v>
      </c>
      <c r="G522" s="23"/>
      <c r="H522" s="24" t="s">
        <v>3616</v>
      </c>
      <c r="I522" s="21" t="s">
        <v>3661</v>
      </c>
      <c r="J522" s="20" t="s">
        <v>950</v>
      </c>
      <c r="K522" s="24" t="s">
        <v>3692</v>
      </c>
      <c r="L522" s="20" t="s">
        <v>3693</v>
      </c>
      <c r="M522" s="25" t="s">
        <v>3694</v>
      </c>
      <c r="N522" s="26" t="s">
        <v>37</v>
      </c>
      <c r="O522" s="24" t="s">
        <v>954</v>
      </c>
      <c r="P522" s="24" t="s">
        <v>1303</v>
      </c>
      <c r="Q522" s="27"/>
      <c r="R522" s="27"/>
      <c r="S522" s="28" t="s">
        <v>3695</v>
      </c>
      <c r="T522" s="8" t="s">
        <v>3696</v>
      </c>
      <c r="U522" s="29" t="e">
        <v>#N/A</v>
      </c>
      <c r="V522" s="21" t="s">
        <v>957</v>
      </c>
    </row>
    <row r="523">
      <c r="A523" s="30">
        <v>7.290112967114E12</v>
      </c>
      <c r="B523" s="20" t="s">
        <v>3697</v>
      </c>
      <c r="C523" s="21">
        <v>0.2</v>
      </c>
      <c r="D523" s="21">
        <v>0.155</v>
      </c>
      <c r="E523" s="21">
        <v>0.06</v>
      </c>
      <c r="F523" s="22">
        <v>10.0</v>
      </c>
      <c r="G523" s="23"/>
      <c r="H523" s="24" t="s">
        <v>3698</v>
      </c>
      <c r="I523" s="21" t="s">
        <v>3699</v>
      </c>
      <c r="J523" s="20" t="s">
        <v>1299</v>
      </c>
      <c r="K523" s="24" t="s">
        <v>3700</v>
      </c>
      <c r="L523" s="20" t="s">
        <v>3701</v>
      </c>
      <c r="M523" s="25" t="s">
        <v>3702</v>
      </c>
      <c r="N523" s="26"/>
      <c r="O523" s="24"/>
      <c r="P523" s="24"/>
      <c r="Q523" s="27"/>
      <c r="R523" s="27"/>
      <c r="S523" s="28"/>
      <c r="T523" s="8"/>
      <c r="U523" s="29"/>
      <c r="V523" s="21" t="s">
        <v>957</v>
      </c>
    </row>
    <row r="524">
      <c r="A524" s="30">
        <v>7.290112967381E12</v>
      </c>
      <c r="B524" s="20" t="s">
        <v>3703</v>
      </c>
      <c r="C524" s="21">
        <v>0.2</v>
      </c>
      <c r="D524" s="21">
        <v>0.155</v>
      </c>
      <c r="E524" s="21">
        <v>0.06</v>
      </c>
      <c r="F524" s="22">
        <v>10.0</v>
      </c>
      <c r="G524" s="23"/>
      <c r="H524" s="24" t="s">
        <v>3698</v>
      </c>
      <c r="I524" s="21" t="s">
        <v>3699</v>
      </c>
      <c r="J524" s="20" t="s">
        <v>1299</v>
      </c>
      <c r="K524" s="24" t="s">
        <v>3704</v>
      </c>
      <c r="L524" s="20" t="s">
        <v>3705</v>
      </c>
      <c r="M524" s="25" t="s">
        <v>3706</v>
      </c>
      <c r="N524" s="26"/>
      <c r="O524" s="24"/>
      <c r="P524" s="24"/>
      <c r="Q524" s="27"/>
      <c r="R524" s="27"/>
      <c r="S524" s="28"/>
      <c r="T524" s="8"/>
      <c r="U524" s="29"/>
      <c r="V524" s="21" t="s">
        <v>957</v>
      </c>
    </row>
    <row r="525">
      <c r="A525" s="30">
        <v>7.290112495983E12</v>
      </c>
      <c r="B525" s="20" t="s">
        <v>3707</v>
      </c>
      <c r="C525" s="21">
        <v>0.09999999</v>
      </c>
      <c r="D525" s="21">
        <v>0.09999999</v>
      </c>
      <c r="E525" s="21">
        <v>0.07</v>
      </c>
      <c r="F525" s="22">
        <v>4.0</v>
      </c>
      <c r="G525" s="23"/>
      <c r="H525" s="24" t="s">
        <v>3273</v>
      </c>
      <c r="I525" s="21" t="s">
        <v>3274</v>
      </c>
      <c r="J525" s="20" t="s">
        <v>3275</v>
      </c>
      <c r="K525" s="24" t="s">
        <v>3708</v>
      </c>
      <c r="L525" s="20" t="s">
        <v>3709</v>
      </c>
      <c r="M525" s="25" t="s">
        <v>3710</v>
      </c>
      <c r="N525" s="26" t="s">
        <v>28</v>
      </c>
      <c r="O525" s="24" t="s">
        <v>954</v>
      </c>
      <c r="P525" s="24" t="s">
        <v>1303</v>
      </c>
      <c r="Q525" s="27"/>
      <c r="R525" s="27"/>
      <c r="S525" s="28" t="s">
        <v>3711</v>
      </c>
      <c r="T525" s="33" t="s">
        <v>3712</v>
      </c>
      <c r="U525" s="29" t="s">
        <v>3290</v>
      </c>
      <c r="V525" s="24" t="str">
        <f>iferror(VLOOKUP(A525,'tagging table'!A:G,7,0),"")</f>
        <v>Pastry</v>
      </c>
    </row>
    <row r="526">
      <c r="A526" s="44">
        <v>7.290112332585E12</v>
      </c>
      <c r="B526" s="44" t="s">
        <v>3713</v>
      </c>
      <c r="C526" s="44">
        <v>0.2</v>
      </c>
      <c r="D526" s="44">
        <v>0.15</v>
      </c>
      <c r="E526" s="44">
        <v>0.03</v>
      </c>
      <c r="F526" s="45">
        <v>4.0</v>
      </c>
      <c r="G526" s="46"/>
      <c r="H526" s="47" t="s">
        <v>1297</v>
      </c>
      <c r="I526" s="44" t="s">
        <v>1298</v>
      </c>
      <c r="J526" s="44" t="s">
        <v>1299</v>
      </c>
      <c r="K526" s="47" t="s">
        <v>3714</v>
      </c>
      <c r="L526" s="48" t="s">
        <v>3715</v>
      </c>
      <c r="M526" s="44" t="s">
        <v>3716</v>
      </c>
      <c r="N526" s="44" t="s">
        <v>28</v>
      </c>
      <c r="O526" s="46"/>
      <c r="P526" s="46"/>
      <c r="Q526" s="46"/>
      <c r="R526" s="46"/>
      <c r="S526" s="46"/>
      <c r="T526" s="46"/>
      <c r="U526" s="46"/>
      <c r="V526" s="46"/>
    </row>
    <row r="527">
      <c r="A527" s="44">
        <v>7.2901105603E12</v>
      </c>
      <c r="B527" s="44" t="s">
        <v>3717</v>
      </c>
      <c r="C527" s="44">
        <v>0.2</v>
      </c>
      <c r="D527" s="44">
        <v>0.15</v>
      </c>
      <c r="E527" s="44">
        <v>0.03</v>
      </c>
      <c r="F527" s="45">
        <v>4.0</v>
      </c>
      <c r="G527" s="46"/>
      <c r="H527" s="47" t="s">
        <v>1297</v>
      </c>
      <c r="I527" s="44" t="s">
        <v>1298</v>
      </c>
      <c r="J527" s="44" t="s">
        <v>1299</v>
      </c>
      <c r="K527" s="47" t="s">
        <v>3718</v>
      </c>
      <c r="L527" s="48" t="s">
        <v>3719</v>
      </c>
      <c r="M527" s="44" t="s">
        <v>3720</v>
      </c>
      <c r="N527" s="44" t="s">
        <v>28</v>
      </c>
      <c r="O527" s="46"/>
      <c r="P527" s="46"/>
      <c r="Q527" s="46"/>
      <c r="R527" s="46"/>
      <c r="S527" s="46"/>
      <c r="T527" s="46"/>
      <c r="U527" s="46"/>
      <c r="V527" s="46"/>
    </row>
    <row r="528">
      <c r="A528" s="44">
        <v>7.2901123355E12</v>
      </c>
      <c r="B528" s="44" t="s">
        <v>3721</v>
      </c>
      <c r="C528" s="44">
        <v>0.2</v>
      </c>
      <c r="D528" s="44">
        <v>0.16</v>
      </c>
      <c r="E528" s="44">
        <v>0.08</v>
      </c>
      <c r="F528" s="45">
        <v>4.0</v>
      </c>
      <c r="G528" s="46"/>
      <c r="H528" s="47" t="s">
        <v>1297</v>
      </c>
      <c r="I528" s="44" t="s">
        <v>1298</v>
      </c>
      <c r="J528" s="44" t="s">
        <v>1299</v>
      </c>
      <c r="K528" s="47" t="s">
        <v>3722</v>
      </c>
      <c r="L528" s="48" t="s">
        <v>3723</v>
      </c>
      <c r="M528" s="44" t="s">
        <v>3724</v>
      </c>
      <c r="N528" s="44" t="s">
        <v>28</v>
      </c>
      <c r="O528" s="46"/>
      <c r="P528" s="46"/>
      <c r="Q528" s="46"/>
      <c r="R528" s="46"/>
      <c r="S528" s="46"/>
      <c r="T528" s="46"/>
      <c r="U528" s="46"/>
      <c r="V528" s="46"/>
    </row>
    <row r="529">
      <c r="A529" s="30">
        <v>7.290004423353E12</v>
      </c>
      <c r="B529" s="20" t="s">
        <v>3725</v>
      </c>
      <c r="C529" s="21">
        <v>0.08</v>
      </c>
      <c r="D529" s="21">
        <v>0.3</v>
      </c>
      <c r="E529" s="21">
        <v>0.08</v>
      </c>
      <c r="F529" s="22">
        <v>4.0</v>
      </c>
      <c r="G529" s="23"/>
      <c r="H529" s="24" t="s">
        <v>3726</v>
      </c>
      <c r="I529" s="21" t="s">
        <v>3727</v>
      </c>
      <c r="J529" s="20" t="s">
        <v>3728</v>
      </c>
      <c r="K529" s="24" t="s">
        <v>3729</v>
      </c>
      <c r="L529" s="20" t="s">
        <v>3730</v>
      </c>
      <c r="M529" s="25" t="s">
        <v>3731</v>
      </c>
      <c r="N529" s="26" t="s">
        <v>37</v>
      </c>
      <c r="O529" s="24" t="s">
        <v>718</v>
      </c>
      <c r="P529" s="24" t="s">
        <v>1526</v>
      </c>
      <c r="Q529" s="27"/>
      <c r="R529" s="27"/>
      <c r="S529" s="31" t="s">
        <v>3732</v>
      </c>
      <c r="T529" s="33" t="s">
        <v>3733</v>
      </c>
      <c r="U529" s="29" t="e">
        <v>#N/A</v>
      </c>
      <c r="V529" s="21" t="s">
        <v>573</v>
      </c>
    </row>
    <row r="530">
      <c r="A530" s="30">
        <v>7.290013153432E12</v>
      </c>
      <c r="B530" s="20" t="s">
        <v>3734</v>
      </c>
      <c r="C530" s="21">
        <v>0.07</v>
      </c>
      <c r="D530" s="21">
        <v>0.19</v>
      </c>
      <c r="E530" s="21">
        <v>0.053</v>
      </c>
      <c r="F530" s="22">
        <v>6.0</v>
      </c>
      <c r="G530" s="23"/>
      <c r="H530" s="24" t="s">
        <v>3726</v>
      </c>
      <c r="I530" s="21" t="s">
        <v>3727</v>
      </c>
      <c r="J530" s="20" t="s">
        <v>3728</v>
      </c>
      <c r="K530" s="24" t="s">
        <v>3735</v>
      </c>
      <c r="L530" s="20" t="s">
        <v>3736</v>
      </c>
      <c r="M530" s="25" t="s">
        <v>3737</v>
      </c>
      <c r="N530" s="26" t="s">
        <v>28</v>
      </c>
      <c r="O530" s="24" t="s">
        <v>3738</v>
      </c>
      <c r="P530" s="24" t="s">
        <v>3739</v>
      </c>
      <c r="Q530" s="27"/>
      <c r="R530" s="27"/>
      <c r="S530" s="28" t="s">
        <v>3740</v>
      </c>
      <c r="T530" s="8" t="s">
        <v>3741</v>
      </c>
      <c r="U530" s="29" t="s">
        <v>3727</v>
      </c>
      <c r="V530" s="24" t="str">
        <f>iferror(VLOOKUP(A530,'tagging table'!A:G,7,0),"")</f>
        <v>Drinks</v>
      </c>
    </row>
    <row r="531">
      <c r="A531" s="30">
        <v>7.290013585677E12</v>
      </c>
      <c r="B531" s="20" t="s">
        <v>3742</v>
      </c>
      <c r="C531" s="21">
        <v>0.07</v>
      </c>
      <c r="D531" s="21">
        <v>0.18</v>
      </c>
      <c r="E531" s="21">
        <v>0.07</v>
      </c>
      <c r="F531" s="22">
        <v>4.0</v>
      </c>
      <c r="G531" s="23"/>
      <c r="H531" s="24" t="s">
        <v>3726</v>
      </c>
      <c r="I531" s="21" t="s">
        <v>3727</v>
      </c>
      <c r="J531" s="20" t="s">
        <v>3728</v>
      </c>
      <c r="K531" s="24" t="s">
        <v>3743</v>
      </c>
      <c r="L531" s="20" t="s">
        <v>3744</v>
      </c>
      <c r="M531" s="25" t="s">
        <v>3745</v>
      </c>
      <c r="N531" s="26" t="s">
        <v>28</v>
      </c>
      <c r="O531" s="24" t="s">
        <v>3746</v>
      </c>
      <c r="P531" s="24" t="s">
        <v>3747</v>
      </c>
      <c r="Q531" s="27"/>
      <c r="R531" s="27"/>
      <c r="S531" s="28" t="s">
        <v>3748</v>
      </c>
      <c r="T531" s="8" t="s">
        <v>3749</v>
      </c>
      <c r="U531" s="29" t="s">
        <v>3750</v>
      </c>
      <c r="V531" s="24" t="str">
        <f>iferror(VLOOKUP(A531,'tagging table'!A:G,7,0),"")</f>
        <v>Drinks</v>
      </c>
    </row>
    <row r="532">
      <c r="A532" s="30">
        <v>7.290013585653E12</v>
      </c>
      <c r="B532" s="20" t="s">
        <v>3751</v>
      </c>
      <c r="C532" s="21">
        <v>0.07</v>
      </c>
      <c r="D532" s="21">
        <v>0.18</v>
      </c>
      <c r="E532" s="21">
        <v>0.07</v>
      </c>
      <c r="F532" s="22">
        <v>4.0</v>
      </c>
      <c r="G532" s="23"/>
      <c r="H532" s="24" t="s">
        <v>3726</v>
      </c>
      <c r="I532" s="21" t="s">
        <v>3727</v>
      </c>
      <c r="J532" s="20" t="s">
        <v>3728</v>
      </c>
      <c r="K532" s="24" t="s">
        <v>3752</v>
      </c>
      <c r="L532" s="20" t="s">
        <v>3753</v>
      </c>
      <c r="M532" s="25" t="s">
        <v>3754</v>
      </c>
      <c r="N532" s="26" t="s">
        <v>28</v>
      </c>
      <c r="O532" s="24" t="s">
        <v>3746</v>
      </c>
      <c r="P532" s="24" t="s">
        <v>3747</v>
      </c>
      <c r="Q532" s="27"/>
      <c r="R532" s="27"/>
      <c r="S532" s="28" t="s">
        <v>3755</v>
      </c>
      <c r="T532" s="8" t="s">
        <v>3756</v>
      </c>
      <c r="U532" s="29" t="s">
        <v>3727</v>
      </c>
      <c r="V532" s="24" t="str">
        <f>iferror(VLOOKUP(A532,'tagging table'!A:G,7,0),"")</f>
        <v>Drinks</v>
      </c>
    </row>
    <row r="533">
      <c r="A533" s="30">
        <v>7.290013585684E12</v>
      </c>
      <c r="B533" s="20" t="s">
        <v>3757</v>
      </c>
      <c r="C533" s="21">
        <v>0.07</v>
      </c>
      <c r="D533" s="21">
        <v>0.18</v>
      </c>
      <c r="E533" s="21">
        <v>0.07</v>
      </c>
      <c r="F533" s="22">
        <v>4.0</v>
      </c>
      <c r="G533" s="23"/>
      <c r="H533" s="24" t="s">
        <v>3726</v>
      </c>
      <c r="I533" s="21" t="s">
        <v>3727</v>
      </c>
      <c r="J533" s="20" t="s">
        <v>3728</v>
      </c>
      <c r="K533" s="24" t="s">
        <v>3758</v>
      </c>
      <c r="L533" s="20" t="s">
        <v>3759</v>
      </c>
      <c r="M533" s="25" t="s">
        <v>3760</v>
      </c>
      <c r="N533" s="26" t="s">
        <v>28</v>
      </c>
      <c r="O533" s="24" t="s">
        <v>3746</v>
      </c>
      <c r="P533" s="24" t="s">
        <v>3747</v>
      </c>
      <c r="Q533" s="27"/>
      <c r="R533" s="27"/>
      <c r="S533" s="28" t="s">
        <v>3761</v>
      </c>
      <c r="T533" s="8" t="s">
        <v>3762</v>
      </c>
      <c r="U533" s="29" t="s">
        <v>3750</v>
      </c>
      <c r="V533" s="24" t="str">
        <f>iferror(VLOOKUP(A533,'tagging table'!A:G,7,0),"")</f>
        <v>Drinks</v>
      </c>
    </row>
    <row r="534">
      <c r="A534" s="30">
        <v>7.290000377612E12</v>
      </c>
      <c r="B534" s="20" t="s">
        <v>3763</v>
      </c>
      <c r="C534" s="21">
        <v>0.07</v>
      </c>
      <c r="D534" s="21">
        <v>0.19</v>
      </c>
      <c r="E534" s="21">
        <v>0.053</v>
      </c>
      <c r="F534" s="22">
        <v>6.0</v>
      </c>
      <c r="G534" s="23"/>
      <c r="H534" s="24" t="s">
        <v>3726</v>
      </c>
      <c r="I534" s="21" t="s">
        <v>3727</v>
      </c>
      <c r="J534" s="20" t="s">
        <v>3728</v>
      </c>
      <c r="K534" s="24" t="s">
        <v>3764</v>
      </c>
      <c r="L534" s="20" t="s">
        <v>3765</v>
      </c>
      <c r="M534" s="25" t="s">
        <v>3766</v>
      </c>
      <c r="N534" s="26" t="s">
        <v>37</v>
      </c>
      <c r="O534" s="24" t="s">
        <v>3738</v>
      </c>
      <c r="P534" s="24" t="s">
        <v>3739</v>
      </c>
      <c r="Q534" s="27"/>
      <c r="R534" s="27"/>
      <c r="S534" s="28" t="s">
        <v>3767</v>
      </c>
      <c r="T534" s="8" t="s">
        <v>3768</v>
      </c>
      <c r="U534" s="29" t="e">
        <v>#N/A</v>
      </c>
      <c r="V534" s="21" t="s">
        <v>573</v>
      </c>
    </row>
    <row r="535">
      <c r="A535" s="30">
        <v>7.290011015374E12</v>
      </c>
      <c r="B535" s="20" t="s">
        <v>3769</v>
      </c>
      <c r="C535" s="21">
        <v>0.07</v>
      </c>
      <c r="D535" s="21">
        <v>0.19</v>
      </c>
      <c r="E535" s="21">
        <v>0.053</v>
      </c>
      <c r="F535" s="22">
        <v>6.0</v>
      </c>
      <c r="G535" s="23"/>
      <c r="H535" s="24" t="s">
        <v>3726</v>
      </c>
      <c r="I535" s="21" t="s">
        <v>3727</v>
      </c>
      <c r="J535" s="20" t="s">
        <v>3728</v>
      </c>
      <c r="K535" s="24" t="s">
        <v>3770</v>
      </c>
      <c r="L535" s="20" t="s">
        <v>3771</v>
      </c>
      <c r="M535" s="25" t="s">
        <v>3772</v>
      </c>
      <c r="N535" s="26" t="s">
        <v>28</v>
      </c>
      <c r="O535" s="24" t="s">
        <v>3738</v>
      </c>
      <c r="P535" s="24" t="s">
        <v>3739</v>
      </c>
      <c r="Q535" s="27"/>
      <c r="R535" s="27"/>
      <c r="S535" s="31" t="s">
        <v>3773</v>
      </c>
      <c r="T535" s="8" t="s">
        <v>3774</v>
      </c>
      <c r="U535" s="29" t="s">
        <v>3727</v>
      </c>
      <c r="V535" s="24" t="str">
        <f>iferror(VLOOKUP(A535,'tagging table'!A:G,7,0),"")</f>
        <v>Drinks</v>
      </c>
    </row>
    <row r="536">
      <c r="A536" s="30">
        <v>7.290002871446E12</v>
      </c>
      <c r="B536" s="20" t="s">
        <v>3775</v>
      </c>
      <c r="C536" s="21">
        <v>0.08</v>
      </c>
      <c r="D536" s="21">
        <v>0.3</v>
      </c>
      <c r="E536" s="21">
        <v>0.08</v>
      </c>
      <c r="F536" s="22">
        <v>4.0</v>
      </c>
      <c r="G536" s="23"/>
      <c r="H536" s="24" t="s">
        <v>3726</v>
      </c>
      <c r="I536" s="21" t="s">
        <v>3727</v>
      </c>
      <c r="J536" s="20" t="s">
        <v>3728</v>
      </c>
      <c r="K536" s="24" t="s">
        <v>3776</v>
      </c>
      <c r="L536" s="20" t="s">
        <v>3777</v>
      </c>
      <c r="M536" s="25" t="s">
        <v>3778</v>
      </c>
      <c r="N536" s="26" t="s">
        <v>37</v>
      </c>
      <c r="O536" s="24" t="s">
        <v>718</v>
      </c>
      <c r="P536" s="24" t="s">
        <v>1526</v>
      </c>
      <c r="Q536" s="27"/>
      <c r="R536" s="27"/>
      <c r="S536" s="31" t="s">
        <v>3779</v>
      </c>
      <c r="T536" s="33" t="s">
        <v>3780</v>
      </c>
      <c r="U536" s="29" t="e">
        <v>#N/A</v>
      </c>
      <c r="V536" s="21" t="s">
        <v>573</v>
      </c>
    </row>
    <row r="537">
      <c r="A537" s="30">
        <v>7.290001594391E12</v>
      </c>
      <c r="B537" s="20" t="s">
        <v>3781</v>
      </c>
      <c r="C537" s="21">
        <v>0.06</v>
      </c>
      <c r="D537" s="21">
        <v>0.193</v>
      </c>
      <c r="E537" s="21">
        <v>0.06</v>
      </c>
      <c r="F537" s="22">
        <v>5.0</v>
      </c>
      <c r="G537" s="23"/>
      <c r="H537" s="24" t="s">
        <v>3726</v>
      </c>
      <c r="I537" s="21" t="s">
        <v>3727</v>
      </c>
      <c r="J537" s="20" t="s">
        <v>3728</v>
      </c>
      <c r="K537" s="24" t="s">
        <v>3782</v>
      </c>
      <c r="L537" s="20" t="s">
        <v>3783</v>
      </c>
      <c r="M537" s="25" t="s">
        <v>3784</v>
      </c>
      <c r="N537" s="26" t="s">
        <v>37</v>
      </c>
      <c r="O537" s="24" t="s">
        <v>2364</v>
      </c>
      <c r="P537" s="24" t="s">
        <v>3164</v>
      </c>
      <c r="Q537" s="27"/>
      <c r="R537" s="27"/>
      <c r="S537" s="31" t="s">
        <v>3785</v>
      </c>
      <c r="T537" s="33" t="s">
        <v>3786</v>
      </c>
      <c r="U537" s="29" t="e">
        <v>#N/A</v>
      </c>
      <c r="V537" s="21" t="s">
        <v>573</v>
      </c>
    </row>
    <row r="538">
      <c r="A538" s="30">
        <v>7.290002871477E12</v>
      </c>
      <c r="B538" s="20" t="s">
        <v>3787</v>
      </c>
      <c r="C538" s="21">
        <v>0.08</v>
      </c>
      <c r="D538" s="21">
        <v>0.3</v>
      </c>
      <c r="E538" s="21">
        <v>0.08</v>
      </c>
      <c r="F538" s="22">
        <v>4.0</v>
      </c>
      <c r="G538" s="23"/>
      <c r="H538" s="24" t="s">
        <v>3726</v>
      </c>
      <c r="I538" s="21" t="s">
        <v>3727</v>
      </c>
      <c r="J538" s="20" t="s">
        <v>3728</v>
      </c>
      <c r="K538" s="24" t="s">
        <v>3788</v>
      </c>
      <c r="L538" s="20" t="s">
        <v>3789</v>
      </c>
      <c r="M538" s="25" t="s">
        <v>3790</v>
      </c>
      <c r="N538" s="26" t="s">
        <v>37</v>
      </c>
      <c r="O538" s="24" t="s">
        <v>718</v>
      </c>
      <c r="P538" s="24" t="s">
        <v>1526</v>
      </c>
      <c r="Q538" s="27"/>
      <c r="R538" s="27"/>
      <c r="S538" s="31" t="s">
        <v>3791</v>
      </c>
      <c r="T538" s="33" t="s">
        <v>3792</v>
      </c>
      <c r="U538" s="29" t="e">
        <v>#N/A</v>
      </c>
      <c r="V538" s="21" t="s">
        <v>573</v>
      </c>
    </row>
    <row r="539">
      <c r="A539" s="30">
        <v>7.290001594384E12</v>
      </c>
      <c r="B539" s="20" t="s">
        <v>3793</v>
      </c>
      <c r="C539" s="21">
        <v>0.06</v>
      </c>
      <c r="D539" s="21">
        <v>0.193</v>
      </c>
      <c r="E539" s="21">
        <v>0.06</v>
      </c>
      <c r="F539" s="22">
        <v>5.0</v>
      </c>
      <c r="G539" s="23"/>
      <c r="H539" s="24" t="s">
        <v>3726</v>
      </c>
      <c r="I539" s="21" t="s">
        <v>3727</v>
      </c>
      <c r="J539" s="20" t="s">
        <v>3728</v>
      </c>
      <c r="K539" s="24" t="s">
        <v>3794</v>
      </c>
      <c r="L539" s="20" t="s">
        <v>3795</v>
      </c>
      <c r="M539" s="25" t="s">
        <v>3796</v>
      </c>
      <c r="N539" s="26" t="s">
        <v>37</v>
      </c>
      <c r="O539" s="24" t="s">
        <v>718</v>
      </c>
      <c r="P539" s="24" t="s">
        <v>719</v>
      </c>
      <c r="Q539" s="27"/>
      <c r="R539" s="27"/>
      <c r="S539" s="28" t="s">
        <v>3797</v>
      </c>
      <c r="T539" s="8" t="s">
        <v>3798</v>
      </c>
      <c r="U539" s="29" t="e">
        <v>#N/A</v>
      </c>
      <c r="V539" s="21" t="s">
        <v>573</v>
      </c>
    </row>
    <row r="540">
      <c r="A540" s="30">
        <v>7.290005604133E12</v>
      </c>
      <c r="B540" s="20" t="s">
        <v>3799</v>
      </c>
      <c r="C540" s="21">
        <v>0.08</v>
      </c>
      <c r="D540" s="21">
        <v>0.3</v>
      </c>
      <c r="E540" s="21">
        <v>0.08</v>
      </c>
      <c r="F540" s="22">
        <v>4.0</v>
      </c>
      <c r="G540" s="23"/>
      <c r="H540" s="24" t="s">
        <v>3726</v>
      </c>
      <c r="I540" s="21" t="s">
        <v>3727</v>
      </c>
      <c r="J540" s="20" t="s">
        <v>3728</v>
      </c>
      <c r="K540" s="24" t="s">
        <v>3800</v>
      </c>
      <c r="L540" s="20" t="s">
        <v>3801</v>
      </c>
      <c r="M540" s="25" t="s">
        <v>3802</v>
      </c>
      <c r="N540" s="26" t="s">
        <v>37</v>
      </c>
      <c r="O540" s="24" t="s">
        <v>718</v>
      </c>
      <c r="P540" s="24" t="s">
        <v>1526</v>
      </c>
      <c r="Q540" s="27"/>
      <c r="R540" s="27"/>
      <c r="S540" s="31" t="s">
        <v>3803</v>
      </c>
      <c r="T540" s="33" t="s">
        <v>3804</v>
      </c>
      <c r="U540" s="29" t="e">
        <v>#N/A</v>
      </c>
      <c r="V540" s="21" t="s">
        <v>573</v>
      </c>
    </row>
    <row r="541">
      <c r="A541" s="30">
        <v>7.29000287146E12</v>
      </c>
      <c r="B541" s="20" t="s">
        <v>3805</v>
      </c>
      <c r="C541" s="21">
        <v>0.08</v>
      </c>
      <c r="D541" s="21">
        <v>0.3</v>
      </c>
      <c r="E541" s="21">
        <v>0.08</v>
      </c>
      <c r="F541" s="22">
        <v>4.0</v>
      </c>
      <c r="G541" s="23"/>
      <c r="H541" s="24" t="s">
        <v>3726</v>
      </c>
      <c r="I541" s="21" t="s">
        <v>3727</v>
      </c>
      <c r="J541" s="20" t="s">
        <v>3728</v>
      </c>
      <c r="K541" s="24" t="s">
        <v>3806</v>
      </c>
      <c r="L541" s="20" t="s">
        <v>3807</v>
      </c>
      <c r="M541" s="25" t="s">
        <v>3808</v>
      </c>
      <c r="N541" s="26" t="s">
        <v>37</v>
      </c>
      <c r="O541" s="24" t="s">
        <v>718</v>
      </c>
      <c r="P541" s="24" t="s">
        <v>1526</v>
      </c>
      <c r="Q541" s="27"/>
      <c r="R541" s="27"/>
      <c r="S541" s="31" t="s">
        <v>3809</v>
      </c>
      <c r="T541" s="33" t="s">
        <v>3810</v>
      </c>
      <c r="U541" s="29" t="e">
        <v>#N/A</v>
      </c>
      <c r="V541" s="21" t="s">
        <v>573</v>
      </c>
    </row>
    <row r="542">
      <c r="A542" s="30">
        <v>7.290110110468E12</v>
      </c>
      <c r="B542" s="20" t="s">
        <v>3811</v>
      </c>
      <c r="C542" s="21">
        <v>0.06</v>
      </c>
      <c r="D542" s="21">
        <v>0.193</v>
      </c>
      <c r="E542" s="21">
        <v>0.06</v>
      </c>
      <c r="F542" s="22">
        <v>5.0</v>
      </c>
      <c r="G542" s="23"/>
      <c r="H542" s="24" t="s">
        <v>3726</v>
      </c>
      <c r="I542" s="21" t="s">
        <v>3727</v>
      </c>
      <c r="J542" s="20" t="s">
        <v>3728</v>
      </c>
      <c r="K542" s="24" t="s">
        <v>3812</v>
      </c>
      <c r="L542" s="20" t="s">
        <v>3813</v>
      </c>
      <c r="M542" s="25" t="s">
        <v>3814</v>
      </c>
      <c r="N542" s="26" t="s">
        <v>28</v>
      </c>
      <c r="O542" s="24" t="s">
        <v>718</v>
      </c>
      <c r="P542" s="24" t="s">
        <v>719</v>
      </c>
      <c r="Q542" s="27"/>
      <c r="R542" s="27"/>
      <c r="S542" s="28" t="s">
        <v>3815</v>
      </c>
      <c r="T542" s="8" t="s">
        <v>3816</v>
      </c>
      <c r="U542" s="29" t="s">
        <v>3727</v>
      </c>
      <c r="V542" s="24" t="str">
        <f>iferror(VLOOKUP(A542,'tagging table'!A:G,7,0),"")</f>
        <v>Drinks</v>
      </c>
    </row>
    <row r="543">
      <c r="A543" s="30">
        <v>7.290110110475E12</v>
      </c>
      <c r="B543" s="20" t="s">
        <v>3817</v>
      </c>
      <c r="C543" s="21">
        <v>0.06</v>
      </c>
      <c r="D543" s="21">
        <v>0.193</v>
      </c>
      <c r="E543" s="21">
        <v>0.06</v>
      </c>
      <c r="F543" s="22">
        <v>5.0</v>
      </c>
      <c r="G543" s="23"/>
      <c r="H543" s="24" t="s">
        <v>3726</v>
      </c>
      <c r="I543" s="21" t="s">
        <v>3727</v>
      </c>
      <c r="J543" s="20" t="s">
        <v>3728</v>
      </c>
      <c r="K543" s="24" t="s">
        <v>3818</v>
      </c>
      <c r="L543" s="20" t="s">
        <v>3819</v>
      </c>
      <c r="M543" s="25" t="s">
        <v>3820</v>
      </c>
      <c r="N543" s="26" t="s">
        <v>28</v>
      </c>
      <c r="O543" s="24" t="s">
        <v>718</v>
      </c>
      <c r="P543" s="24" t="s">
        <v>719</v>
      </c>
      <c r="Q543" s="27"/>
      <c r="R543" s="27"/>
      <c r="S543" s="28" t="s">
        <v>3821</v>
      </c>
      <c r="T543" s="8" t="s">
        <v>3822</v>
      </c>
      <c r="U543" s="29" t="s">
        <v>3727</v>
      </c>
      <c r="V543" s="24" t="str">
        <f>iferror(VLOOKUP(A543,'tagging table'!A:G,7,0),"")</f>
        <v>Drinks</v>
      </c>
    </row>
    <row r="544">
      <c r="A544" s="30">
        <v>7.290001594377E12</v>
      </c>
      <c r="B544" s="20" t="s">
        <v>3823</v>
      </c>
      <c r="C544" s="21">
        <v>0.06</v>
      </c>
      <c r="D544" s="21">
        <v>0.193</v>
      </c>
      <c r="E544" s="21">
        <v>0.06</v>
      </c>
      <c r="F544" s="22">
        <v>5.0</v>
      </c>
      <c r="G544" s="23"/>
      <c r="H544" s="24" t="s">
        <v>3726</v>
      </c>
      <c r="I544" s="21" t="s">
        <v>3727</v>
      </c>
      <c r="J544" s="20" t="s">
        <v>3728</v>
      </c>
      <c r="K544" s="24" t="s">
        <v>3824</v>
      </c>
      <c r="L544" s="20" t="s">
        <v>3825</v>
      </c>
      <c r="M544" s="25" t="s">
        <v>3826</v>
      </c>
      <c r="N544" s="26" t="s">
        <v>37</v>
      </c>
      <c r="O544" s="24" t="s">
        <v>718</v>
      </c>
      <c r="P544" s="24" t="s">
        <v>719</v>
      </c>
      <c r="Q544" s="27"/>
      <c r="R544" s="27"/>
      <c r="S544" s="28" t="s">
        <v>3827</v>
      </c>
      <c r="T544" s="8" t="s">
        <v>3828</v>
      </c>
      <c r="U544" s="29" t="e">
        <v>#N/A</v>
      </c>
      <c r="V544" s="21" t="s">
        <v>573</v>
      </c>
    </row>
    <row r="545">
      <c r="A545" s="30">
        <v>7.290003667369E12</v>
      </c>
      <c r="B545" s="20" t="s">
        <v>3829</v>
      </c>
      <c r="C545" s="21">
        <v>0.08</v>
      </c>
      <c r="D545" s="21">
        <v>0.3</v>
      </c>
      <c r="E545" s="21">
        <v>0.08</v>
      </c>
      <c r="F545" s="22">
        <v>4.0</v>
      </c>
      <c r="G545" s="23"/>
      <c r="H545" s="24" t="s">
        <v>3726</v>
      </c>
      <c r="I545" s="21" t="s">
        <v>3727</v>
      </c>
      <c r="J545" s="20" t="s">
        <v>3728</v>
      </c>
      <c r="K545" s="24" t="s">
        <v>3830</v>
      </c>
      <c r="L545" s="20" t="s">
        <v>3831</v>
      </c>
      <c r="M545" s="25" t="s">
        <v>3832</v>
      </c>
      <c r="N545" s="26" t="s">
        <v>37</v>
      </c>
      <c r="O545" s="24" t="s">
        <v>718</v>
      </c>
      <c r="P545" s="24" t="s">
        <v>1526</v>
      </c>
      <c r="Q545" s="27"/>
      <c r="R545" s="27"/>
      <c r="S545" s="31" t="s">
        <v>3833</v>
      </c>
      <c r="T545" s="33" t="s">
        <v>3834</v>
      </c>
      <c r="U545" s="29" t="e">
        <v>#N/A</v>
      </c>
      <c r="V545" s="21" t="s">
        <v>573</v>
      </c>
    </row>
    <row r="546">
      <c r="A546" s="30">
        <v>44712.0</v>
      </c>
      <c r="B546" s="20" t="s">
        <v>3835</v>
      </c>
      <c r="C546" s="21">
        <v>0.063</v>
      </c>
      <c r="D546" s="21">
        <v>0.067</v>
      </c>
      <c r="E546" s="21">
        <v>0.063</v>
      </c>
      <c r="F546" s="22"/>
      <c r="G546" s="23"/>
      <c r="H546" s="24" t="s">
        <v>3836</v>
      </c>
      <c r="I546" s="21" t="s">
        <v>3837</v>
      </c>
      <c r="J546" s="24"/>
      <c r="K546" s="24" t="s">
        <v>3838</v>
      </c>
      <c r="L546" s="20" t="s">
        <v>3839</v>
      </c>
      <c r="M546" s="25" t="s">
        <v>3840</v>
      </c>
      <c r="N546" s="26" t="s">
        <v>37</v>
      </c>
      <c r="O546" s="24" t="s">
        <v>1011</v>
      </c>
      <c r="P546" s="24"/>
      <c r="Q546" s="27"/>
      <c r="R546" s="27"/>
      <c r="S546" s="28"/>
      <c r="T546" s="8"/>
      <c r="U546" s="29"/>
      <c r="V546" s="21" t="s">
        <v>983</v>
      </c>
    </row>
    <row r="547">
      <c r="A547" s="30">
        <v>7.290001045633E12</v>
      </c>
      <c r="B547" s="20" t="s">
        <v>3841</v>
      </c>
      <c r="C547" s="21">
        <v>0.07</v>
      </c>
      <c r="D547" s="21">
        <v>0.19</v>
      </c>
      <c r="E547" s="21">
        <v>0.045</v>
      </c>
      <c r="F547" s="22">
        <v>7.0</v>
      </c>
      <c r="G547" s="23"/>
      <c r="H547" s="24" t="s">
        <v>3842</v>
      </c>
      <c r="I547" s="21" t="s">
        <v>3843</v>
      </c>
      <c r="J547" s="20" t="s">
        <v>3728</v>
      </c>
      <c r="K547" s="24" t="s">
        <v>3844</v>
      </c>
      <c r="L547" s="20" t="s">
        <v>3845</v>
      </c>
      <c r="M547" s="25" t="s">
        <v>3846</v>
      </c>
      <c r="N547" s="26" t="s">
        <v>37</v>
      </c>
      <c r="O547" s="24" t="s">
        <v>718</v>
      </c>
      <c r="P547" s="24" t="s">
        <v>719</v>
      </c>
      <c r="Q547" s="27"/>
      <c r="R547" s="27"/>
      <c r="S547" s="31" t="s">
        <v>3847</v>
      </c>
      <c r="T547" s="33" t="s">
        <v>3848</v>
      </c>
      <c r="U547" s="29" t="e">
        <v>#N/A</v>
      </c>
      <c r="V547" s="21" t="s">
        <v>573</v>
      </c>
    </row>
    <row r="548">
      <c r="A548" s="30">
        <v>7.290001045657E12</v>
      </c>
      <c r="B548" s="20" t="s">
        <v>3849</v>
      </c>
      <c r="C548" s="21">
        <v>0.07</v>
      </c>
      <c r="D548" s="21">
        <v>0.19</v>
      </c>
      <c r="E548" s="21">
        <v>0.045</v>
      </c>
      <c r="F548" s="22">
        <v>7.0</v>
      </c>
      <c r="G548" s="23"/>
      <c r="H548" s="24" t="s">
        <v>3842</v>
      </c>
      <c r="I548" s="21" t="s">
        <v>3843</v>
      </c>
      <c r="J548" s="20" t="s">
        <v>3728</v>
      </c>
      <c r="K548" s="24" t="s">
        <v>3850</v>
      </c>
      <c r="L548" s="20" t="s">
        <v>3851</v>
      </c>
      <c r="M548" s="25" t="s">
        <v>3852</v>
      </c>
      <c r="N548" s="26" t="s">
        <v>37</v>
      </c>
      <c r="O548" s="24" t="s">
        <v>718</v>
      </c>
      <c r="P548" s="24" t="s">
        <v>719</v>
      </c>
      <c r="Q548" s="27"/>
      <c r="R548" s="27"/>
      <c r="S548" s="31" t="s">
        <v>3853</v>
      </c>
      <c r="T548" s="33" t="s">
        <v>3854</v>
      </c>
      <c r="U548" s="29" t="e">
        <v>#N/A</v>
      </c>
      <c r="V548" s="21" t="s">
        <v>573</v>
      </c>
    </row>
    <row r="549">
      <c r="A549" s="30">
        <v>7.290001045688E12</v>
      </c>
      <c r="B549" s="20" t="s">
        <v>3855</v>
      </c>
      <c r="C549" s="21">
        <v>0.07</v>
      </c>
      <c r="D549" s="21">
        <v>0.19</v>
      </c>
      <c r="E549" s="21">
        <v>0.045</v>
      </c>
      <c r="F549" s="22">
        <v>7.0</v>
      </c>
      <c r="G549" s="23"/>
      <c r="H549" s="24" t="s">
        <v>3842</v>
      </c>
      <c r="I549" s="21" t="s">
        <v>3843</v>
      </c>
      <c r="J549" s="20" t="s">
        <v>3728</v>
      </c>
      <c r="K549" s="24" t="s">
        <v>3856</v>
      </c>
      <c r="L549" s="20" t="s">
        <v>3857</v>
      </c>
      <c r="M549" s="25" t="s">
        <v>3858</v>
      </c>
      <c r="N549" s="26" t="s">
        <v>37</v>
      </c>
      <c r="O549" s="24" t="s">
        <v>718</v>
      </c>
      <c r="P549" s="24" t="s">
        <v>719</v>
      </c>
      <c r="Q549" s="27"/>
      <c r="R549" s="27"/>
      <c r="S549" s="31" t="s">
        <v>3859</v>
      </c>
      <c r="T549" s="33" t="s">
        <v>3860</v>
      </c>
      <c r="U549" s="29" t="e">
        <v>#N/A</v>
      </c>
      <c r="V549" s="21" t="s">
        <v>573</v>
      </c>
    </row>
    <row r="550">
      <c r="A550" s="30">
        <v>3.8000183713E10</v>
      </c>
      <c r="B550" s="20" t="s">
        <v>3861</v>
      </c>
      <c r="C550" s="21">
        <v>0.08</v>
      </c>
      <c r="D550" s="21">
        <v>0.27</v>
      </c>
      <c r="E550" s="21">
        <v>0.08</v>
      </c>
      <c r="F550" s="22">
        <v>4.0</v>
      </c>
      <c r="G550" s="23"/>
      <c r="H550" s="24" t="s">
        <v>3862</v>
      </c>
      <c r="I550" s="21" t="s">
        <v>3863</v>
      </c>
      <c r="J550" s="49"/>
      <c r="K550" s="24" t="s">
        <v>3864</v>
      </c>
      <c r="L550" s="20" t="s">
        <v>3865</v>
      </c>
      <c r="M550" s="25" t="s">
        <v>3866</v>
      </c>
      <c r="N550" s="26" t="s">
        <v>28</v>
      </c>
      <c r="O550" s="24" t="s">
        <v>109</v>
      </c>
      <c r="P550" s="24" t="s">
        <v>3867</v>
      </c>
      <c r="Q550" s="27"/>
      <c r="R550" s="27"/>
      <c r="S550" s="28" t="s">
        <v>3868</v>
      </c>
      <c r="T550" s="8" t="s">
        <v>3866</v>
      </c>
      <c r="U550" s="29" t="s">
        <v>3863</v>
      </c>
      <c r="V550" s="21" t="s">
        <v>113</v>
      </c>
    </row>
    <row r="551">
      <c r="A551" s="30">
        <v>3.800013843E10</v>
      </c>
      <c r="B551" s="20" t="s">
        <v>3869</v>
      </c>
      <c r="C551" s="21">
        <v>0.08</v>
      </c>
      <c r="D551" s="21">
        <v>0.27</v>
      </c>
      <c r="E551" s="21">
        <v>0.08</v>
      </c>
      <c r="F551" s="22">
        <v>4.0</v>
      </c>
      <c r="G551" s="23"/>
      <c r="H551" s="24" t="s">
        <v>3862</v>
      </c>
      <c r="I551" s="21" t="s">
        <v>3863</v>
      </c>
      <c r="J551" s="49"/>
      <c r="K551" s="24" t="s">
        <v>3870</v>
      </c>
      <c r="L551" s="20" t="s">
        <v>3871</v>
      </c>
      <c r="M551" s="25" t="s">
        <v>3872</v>
      </c>
      <c r="N551" s="26" t="s">
        <v>28</v>
      </c>
      <c r="O551" s="24" t="s">
        <v>109</v>
      </c>
      <c r="P551" s="24" t="s">
        <v>3867</v>
      </c>
      <c r="Q551" s="27"/>
      <c r="R551" s="27"/>
      <c r="S551" s="28" t="s">
        <v>3873</v>
      </c>
      <c r="T551" s="8" t="s">
        <v>3872</v>
      </c>
      <c r="U551" s="29" t="s">
        <v>3863</v>
      </c>
      <c r="V551" s="21" t="s">
        <v>113</v>
      </c>
    </row>
    <row r="552">
      <c r="A552" s="30">
        <v>3.8000845253E10</v>
      </c>
      <c r="B552" s="20" t="s">
        <v>3874</v>
      </c>
      <c r="C552" s="21">
        <v>0.08</v>
      </c>
      <c r="D552" s="21">
        <v>0.13</v>
      </c>
      <c r="E552" s="21">
        <v>0.08</v>
      </c>
      <c r="F552" s="22">
        <v>4.0</v>
      </c>
      <c r="G552" s="23"/>
      <c r="H552" s="24" t="s">
        <v>3862</v>
      </c>
      <c r="I552" s="21" t="s">
        <v>3863</v>
      </c>
      <c r="J552" s="49"/>
      <c r="K552" s="24" t="s">
        <v>3875</v>
      </c>
      <c r="L552" s="20" t="s">
        <v>3876</v>
      </c>
      <c r="M552" s="25" t="s">
        <v>3877</v>
      </c>
      <c r="N552" s="26" t="s">
        <v>28</v>
      </c>
      <c r="O552" s="24" t="s">
        <v>109</v>
      </c>
      <c r="P552" s="24" t="s">
        <v>3867</v>
      </c>
      <c r="Q552" s="27"/>
      <c r="R552" s="27"/>
      <c r="S552" s="28" t="s">
        <v>3878</v>
      </c>
      <c r="T552" s="8" t="s">
        <v>3877</v>
      </c>
      <c r="U552" s="29" t="s">
        <v>3863</v>
      </c>
      <c r="V552" s="21" t="s">
        <v>113</v>
      </c>
    </row>
    <row r="553">
      <c r="A553" s="30">
        <v>3.800018369E10</v>
      </c>
      <c r="B553" s="20" t="s">
        <v>3879</v>
      </c>
      <c r="C553" s="21">
        <v>0.085</v>
      </c>
      <c r="D553" s="21">
        <v>0.13</v>
      </c>
      <c r="E553" s="21">
        <v>0.08</v>
      </c>
      <c r="F553" s="22">
        <v>4.0</v>
      </c>
      <c r="G553" s="23"/>
      <c r="H553" s="24" t="s">
        <v>3862</v>
      </c>
      <c r="I553" s="21" t="s">
        <v>3863</v>
      </c>
      <c r="J553" s="49"/>
      <c r="K553" s="24" t="s">
        <v>3880</v>
      </c>
      <c r="L553" s="20" t="s">
        <v>3881</v>
      </c>
      <c r="M553" s="25" t="s">
        <v>3882</v>
      </c>
      <c r="N553" s="26" t="s">
        <v>28</v>
      </c>
      <c r="O553" s="24" t="s">
        <v>109</v>
      </c>
      <c r="P553" s="24" t="s">
        <v>3867</v>
      </c>
      <c r="Q553" s="27"/>
      <c r="R553" s="27"/>
      <c r="S553" s="28" t="s">
        <v>3883</v>
      </c>
      <c r="T553" s="8" t="s">
        <v>3882</v>
      </c>
      <c r="U553" s="29" t="s">
        <v>3863</v>
      </c>
      <c r="V553" s="21" t="s">
        <v>113</v>
      </c>
    </row>
    <row r="554">
      <c r="A554" s="30">
        <v>3.8000138416E10</v>
      </c>
      <c r="B554" s="20" t="s">
        <v>3884</v>
      </c>
      <c r="C554" s="21">
        <v>0.08</v>
      </c>
      <c r="D554" s="21">
        <v>0.27</v>
      </c>
      <c r="E554" s="21">
        <v>0.08</v>
      </c>
      <c r="F554" s="22">
        <v>4.0</v>
      </c>
      <c r="G554" s="23"/>
      <c r="H554" s="24" t="s">
        <v>3862</v>
      </c>
      <c r="I554" s="21" t="s">
        <v>3863</v>
      </c>
      <c r="J554" s="49"/>
      <c r="K554" s="24" t="s">
        <v>3885</v>
      </c>
      <c r="L554" s="20" t="s">
        <v>3886</v>
      </c>
      <c r="M554" s="25" t="s">
        <v>3887</v>
      </c>
      <c r="N554" s="26" t="s">
        <v>28</v>
      </c>
      <c r="O554" s="24" t="s">
        <v>109</v>
      </c>
      <c r="P554" s="24" t="s">
        <v>3867</v>
      </c>
      <c r="Q554" s="27"/>
      <c r="R554" s="27"/>
      <c r="S554" s="28" t="s">
        <v>3888</v>
      </c>
      <c r="T554" s="8" t="s">
        <v>3887</v>
      </c>
      <c r="U554" s="29" t="s">
        <v>3863</v>
      </c>
      <c r="V554" s="21" t="s">
        <v>113</v>
      </c>
    </row>
    <row r="555">
      <c r="A555" s="30">
        <v>3.8000845246E10</v>
      </c>
      <c r="B555" s="20" t="s">
        <v>3889</v>
      </c>
      <c r="C555" s="21">
        <v>0.08</v>
      </c>
      <c r="D555" s="21">
        <v>0.13</v>
      </c>
      <c r="E555" s="21">
        <v>0.08</v>
      </c>
      <c r="F555" s="22">
        <v>4.0</v>
      </c>
      <c r="G555" s="23"/>
      <c r="H555" s="24" t="s">
        <v>3862</v>
      </c>
      <c r="I555" s="21" t="s">
        <v>3863</v>
      </c>
      <c r="J555" s="49"/>
      <c r="K555" s="24" t="s">
        <v>3890</v>
      </c>
      <c r="L555" s="20" t="s">
        <v>3891</v>
      </c>
      <c r="M555" s="25" t="s">
        <v>3892</v>
      </c>
      <c r="N555" s="26" t="s">
        <v>28</v>
      </c>
      <c r="O555" s="24" t="s">
        <v>109</v>
      </c>
      <c r="P555" s="24" t="s">
        <v>3867</v>
      </c>
      <c r="Q555" s="27"/>
      <c r="R555" s="27"/>
      <c r="S555" s="28" t="s">
        <v>3893</v>
      </c>
      <c r="T555" s="8" t="s">
        <v>3892</v>
      </c>
      <c r="U555" s="29" t="s">
        <v>3863</v>
      </c>
      <c r="V555" s="21" t="s">
        <v>113</v>
      </c>
    </row>
    <row r="556">
      <c r="A556" s="30">
        <v>7.290110565497E12</v>
      </c>
      <c r="B556" s="20" t="s">
        <v>3894</v>
      </c>
      <c r="C556" s="21">
        <v>0.062</v>
      </c>
      <c r="D556" s="21">
        <v>0.173</v>
      </c>
      <c r="E556" s="21">
        <v>0.075</v>
      </c>
      <c r="F556" s="22">
        <v>4.0</v>
      </c>
      <c r="G556" s="23"/>
      <c r="H556" s="32" t="s">
        <v>695</v>
      </c>
      <c r="I556" s="21" t="s">
        <v>3895</v>
      </c>
      <c r="J556" s="49"/>
      <c r="K556" s="24" t="s">
        <v>3896</v>
      </c>
      <c r="L556" s="20" t="s">
        <v>3897</v>
      </c>
      <c r="M556" s="25" t="s">
        <v>3898</v>
      </c>
      <c r="N556" s="26" t="s">
        <v>28</v>
      </c>
      <c r="O556" s="24" t="s">
        <v>700</v>
      </c>
      <c r="P556" s="24" t="s">
        <v>1078</v>
      </c>
      <c r="Q556" s="27"/>
      <c r="R556" s="27"/>
      <c r="S556" s="31" t="s">
        <v>3899</v>
      </c>
      <c r="T556" s="33" t="s">
        <v>3900</v>
      </c>
      <c r="U556" s="29" t="s">
        <v>3895</v>
      </c>
      <c r="V556" s="24" t="str">
        <f>iferror(VLOOKUP(A556,'tagging table'!A:G,7,0),"")</f>
        <v>Dairy</v>
      </c>
    </row>
    <row r="557">
      <c r="A557" s="30">
        <v>7.29011234342E12</v>
      </c>
      <c r="B557" s="20" t="s">
        <v>3901</v>
      </c>
      <c r="C557" s="21">
        <v>0.062</v>
      </c>
      <c r="D557" s="21">
        <v>0.173</v>
      </c>
      <c r="E557" s="21">
        <v>0.065</v>
      </c>
      <c r="F557" s="22">
        <v>5.0</v>
      </c>
      <c r="G557" s="23"/>
      <c r="H557" s="32" t="s">
        <v>695</v>
      </c>
      <c r="I557" s="21" t="s">
        <v>1081</v>
      </c>
      <c r="J557" s="49"/>
      <c r="K557" s="24" t="s">
        <v>3902</v>
      </c>
      <c r="L557" s="20" t="s">
        <v>3903</v>
      </c>
      <c r="M557" s="25" t="s">
        <v>3904</v>
      </c>
      <c r="N557" s="26" t="s">
        <v>28</v>
      </c>
      <c r="O557" s="24" t="s">
        <v>700</v>
      </c>
      <c r="P557" s="24" t="s">
        <v>1078</v>
      </c>
      <c r="Q557" s="27"/>
      <c r="R557" s="27"/>
      <c r="S557" s="31" t="s">
        <v>3905</v>
      </c>
      <c r="T557" s="33" t="s">
        <v>3906</v>
      </c>
      <c r="U557" s="29" t="s">
        <v>1081</v>
      </c>
      <c r="V557" s="24" t="str">
        <f>iferror(VLOOKUP(A557,'tagging table'!A:G,7,0),"")</f>
        <v>Dairy</v>
      </c>
    </row>
    <row r="558">
      <c r="A558" s="30">
        <v>7.290107951401E12</v>
      </c>
      <c r="B558" s="20" t="s">
        <v>3907</v>
      </c>
      <c r="C558" s="21">
        <v>0.055</v>
      </c>
      <c r="D558" s="21">
        <v>0.16</v>
      </c>
      <c r="E558" s="21">
        <v>0.055</v>
      </c>
      <c r="F558" s="22">
        <v>5.0</v>
      </c>
      <c r="G558" s="23"/>
      <c r="H558" s="32" t="s">
        <v>695</v>
      </c>
      <c r="I558" s="21" t="s">
        <v>1081</v>
      </c>
      <c r="J558" s="49"/>
      <c r="K558" s="24" t="s">
        <v>3908</v>
      </c>
      <c r="L558" s="20" t="s">
        <v>3909</v>
      </c>
      <c r="M558" s="25" t="s">
        <v>3910</v>
      </c>
      <c r="N558" s="26" t="s">
        <v>28</v>
      </c>
      <c r="O558" s="24" t="s">
        <v>700</v>
      </c>
      <c r="P558" s="24" t="s">
        <v>1078</v>
      </c>
      <c r="Q558" s="27"/>
      <c r="R558" s="27"/>
      <c r="S558" s="28" t="s">
        <v>3911</v>
      </c>
      <c r="T558" s="8" t="s">
        <v>3912</v>
      </c>
      <c r="U558" s="29" t="s">
        <v>1081</v>
      </c>
      <c r="V558" s="24" t="str">
        <f>iferror(VLOOKUP(A558,'tagging table'!A:G,7,0),"")</f>
        <v>Dairy</v>
      </c>
    </row>
    <row r="559">
      <c r="A559" s="30">
        <v>7.290107954976E12</v>
      </c>
      <c r="B559" s="20" t="s">
        <v>3913</v>
      </c>
      <c r="C559" s="21">
        <v>0.06</v>
      </c>
      <c r="D559" s="21">
        <v>0.175</v>
      </c>
      <c r="E559" s="21">
        <v>0.06</v>
      </c>
      <c r="F559" s="22">
        <v>5.0</v>
      </c>
      <c r="G559" s="23"/>
      <c r="H559" s="32" t="s">
        <v>695</v>
      </c>
      <c r="I559" s="21" t="s">
        <v>1081</v>
      </c>
      <c r="J559" s="49"/>
      <c r="K559" s="24" t="s">
        <v>3914</v>
      </c>
      <c r="L559" s="20" t="s">
        <v>3915</v>
      </c>
      <c r="M559" s="25" t="s">
        <v>3916</v>
      </c>
      <c r="N559" s="26" t="s">
        <v>28</v>
      </c>
      <c r="O559" s="24" t="s">
        <v>700</v>
      </c>
      <c r="P559" s="24" t="s">
        <v>1078</v>
      </c>
      <c r="Q559" s="27"/>
      <c r="R559" s="27"/>
      <c r="S559" s="28" t="s">
        <v>3917</v>
      </c>
      <c r="T559" s="8" t="s">
        <v>3918</v>
      </c>
      <c r="U559" s="29" t="s">
        <v>1081</v>
      </c>
      <c r="V559" s="24" t="str">
        <f>iferror(VLOOKUP(A559,'tagging table'!A:G,7,0),"")</f>
        <v>Dairy</v>
      </c>
    </row>
    <row r="560">
      <c r="A560" s="30">
        <v>7.290107951395E12</v>
      </c>
      <c r="B560" s="20" t="s">
        <v>3919</v>
      </c>
      <c r="C560" s="21">
        <v>0.055</v>
      </c>
      <c r="D560" s="21">
        <v>0.16</v>
      </c>
      <c r="E560" s="21">
        <v>0.055</v>
      </c>
      <c r="F560" s="22">
        <v>5.0</v>
      </c>
      <c r="G560" s="23"/>
      <c r="H560" s="32" t="s">
        <v>695</v>
      </c>
      <c r="I560" s="21" t="s">
        <v>1081</v>
      </c>
      <c r="J560" s="49"/>
      <c r="K560" s="24" t="s">
        <v>3920</v>
      </c>
      <c r="L560" s="20" t="s">
        <v>3921</v>
      </c>
      <c r="M560" s="25" t="s">
        <v>3922</v>
      </c>
      <c r="N560" s="26" t="s">
        <v>28</v>
      </c>
      <c r="O560" s="24" t="s">
        <v>700</v>
      </c>
      <c r="P560" s="24" t="s">
        <v>1078</v>
      </c>
      <c r="Q560" s="27"/>
      <c r="R560" s="27"/>
      <c r="S560" s="28" t="s">
        <v>3923</v>
      </c>
      <c r="T560" s="8" t="s">
        <v>3924</v>
      </c>
      <c r="U560" s="29" t="s">
        <v>1081</v>
      </c>
      <c r="V560" s="24" t="str">
        <f>iferror(VLOOKUP(A560,'tagging table'!A:G,7,0),"")</f>
        <v>Dairy</v>
      </c>
    </row>
    <row r="561">
      <c r="A561" s="30">
        <v>7.29011233097E12</v>
      </c>
      <c r="B561" s="20" t="s">
        <v>3925</v>
      </c>
      <c r="C561" s="21">
        <v>0.062</v>
      </c>
      <c r="D561" s="21">
        <v>0.173</v>
      </c>
      <c r="E561" s="21">
        <v>0.062</v>
      </c>
      <c r="F561" s="22">
        <v>5.0</v>
      </c>
      <c r="G561" s="23"/>
      <c r="H561" s="32" t="s">
        <v>695</v>
      </c>
      <c r="I561" s="21" t="s">
        <v>1081</v>
      </c>
      <c r="J561" s="49"/>
      <c r="K561" s="24" t="s">
        <v>3926</v>
      </c>
      <c r="L561" s="20" t="s">
        <v>3927</v>
      </c>
      <c r="M561" s="25" t="s">
        <v>3928</v>
      </c>
      <c r="N561" s="26" t="s">
        <v>28</v>
      </c>
      <c r="O561" s="24" t="s">
        <v>700</v>
      </c>
      <c r="P561" s="24" t="s">
        <v>1078</v>
      </c>
      <c r="Q561" s="27"/>
      <c r="R561" s="27"/>
      <c r="S561" s="28" t="s">
        <v>3929</v>
      </c>
      <c r="T561" s="8" t="s">
        <v>3930</v>
      </c>
      <c r="U561" s="29" t="s">
        <v>1081</v>
      </c>
      <c r="V561" s="24" t="str">
        <f>iferror(VLOOKUP(A561,'tagging table'!A:G,7,0),"")</f>
        <v>Dairy</v>
      </c>
    </row>
    <row r="562">
      <c r="A562" s="30">
        <v>7.290112330987E12</v>
      </c>
      <c r="B562" s="20" t="s">
        <v>3931</v>
      </c>
      <c r="C562" s="21">
        <v>0.062</v>
      </c>
      <c r="D562" s="21">
        <v>0.173</v>
      </c>
      <c r="E562" s="21">
        <v>0.075</v>
      </c>
      <c r="F562" s="22">
        <v>4.0</v>
      </c>
      <c r="G562" s="23"/>
      <c r="H562" s="32" t="s">
        <v>695</v>
      </c>
      <c r="I562" s="21" t="s">
        <v>1081</v>
      </c>
      <c r="J562" s="49"/>
      <c r="K562" s="24" t="s">
        <v>3932</v>
      </c>
      <c r="L562" s="20" t="s">
        <v>3933</v>
      </c>
      <c r="M562" s="25" t="s">
        <v>3934</v>
      </c>
      <c r="N562" s="26" t="s">
        <v>28</v>
      </c>
      <c r="O562" s="24" t="s">
        <v>700</v>
      </c>
      <c r="P562" s="24" t="s">
        <v>1078</v>
      </c>
      <c r="Q562" s="27"/>
      <c r="R562" s="27"/>
      <c r="S562" s="28" t="s">
        <v>3935</v>
      </c>
      <c r="T562" s="8" t="s">
        <v>3936</v>
      </c>
      <c r="U562" s="29" t="s">
        <v>1081</v>
      </c>
      <c r="V562" s="24" t="str">
        <f>iferror(VLOOKUP(A562,'tagging table'!A:G,7,0),"")</f>
        <v>Dairy</v>
      </c>
    </row>
    <row r="563">
      <c r="A563" s="30">
        <v>9.0162602E7</v>
      </c>
      <c r="B563" s="20" t="s">
        <v>3937</v>
      </c>
      <c r="C563" s="21">
        <v>0.053</v>
      </c>
      <c r="D563" s="21">
        <v>0.134</v>
      </c>
      <c r="E563" s="21">
        <v>0.053</v>
      </c>
      <c r="F563" s="22">
        <v>6.0</v>
      </c>
      <c r="G563" s="23"/>
      <c r="H563" s="24" t="s">
        <v>3938</v>
      </c>
      <c r="I563" s="21" t="s">
        <v>3939</v>
      </c>
      <c r="J563" s="50" t="s">
        <v>445</v>
      </c>
      <c r="K563" s="24" t="s">
        <v>3940</v>
      </c>
      <c r="L563" s="20" t="s">
        <v>3941</v>
      </c>
      <c r="M563" s="25" t="s">
        <v>3942</v>
      </c>
      <c r="N563" s="26" t="s">
        <v>3943</v>
      </c>
      <c r="O563" s="24" t="s">
        <v>340</v>
      </c>
      <c r="P563" s="24" t="s">
        <v>449</v>
      </c>
      <c r="Q563" s="27"/>
      <c r="R563" s="27"/>
      <c r="S563" s="31"/>
      <c r="T563" s="33"/>
      <c r="U563" s="29"/>
      <c r="V563" s="24" t="str">
        <f>iferror(VLOOKUP(A563,'tagging table'!A:G,7,0),"")</f>
        <v>Drinks</v>
      </c>
    </row>
    <row r="564">
      <c r="A564" s="30">
        <v>9.01628E7</v>
      </c>
      <c r="B564" s="20" t="s">
        <v>3944</v>
      </c>
      <c r="C564" s="21">
        <v>0.053</v>
      </c>
      <c r="D564" s="21">
        <v>0.134</v>
      </c>
      <c r="E564" s="21">
        <v>0.053</v>
      </c>
      <c r="F564" s="22">
        <v>6.0</v>
      </c>
      <c r="G564" s="23"/>
      <c r="H564" s="24" t="s">
        <v>3938</v>
      </c>
      <c r="I564" s="21" t="s">
        <v>3939</v>
      </c>
      <c r="J564" s="50" t="s">
        <v>445</v>
      </c>
      <c r="K564" s="24" t="s">
        <v>3945</v>
      </c>
      <c r="L564" s="20" t="s">
        <v>3946</v>
      </c>
      <c r="M564" s="25" t="s">
        <v>3947</v>
      </c>
      <c r="N564" s="26" t="s">
        <v>28</v>
      </c>
      <c r="O564" s="24" t="s">
        <v>340</v>
      </c>
      <c r="P564" s="24" t="s">
        <v>449</v>
      </c>
      <c r="Q564" s="27"/>
      <c r="R564" s="27"/>
      <c r="S564" s="28" t="s">
        <v>3948</v>
      </c>
      <c r="T564" s="8" t="s">
        <v>3949</v>
      </c>
      <c r="U564" s="29" t="s">
        <v>3950</v>
      </c>
      <c r="V564" s="24" t="str">
        <f>iferror(VLOOKUP(A564,'tagging table'!A:G,7,0),"")</f>
        <v>Drinks</v>
      </c>
    </row>
    <row r="565">
      <c r="A565" s="30">
        <v>7.290107958523E12</v>
      </c>
      <c r="B565" s="20" t="s">
        <v>3951</v>
      </c>
      <c r="C565" s="21">
        <v>0.275</v>
      </c>
      <c r="D565" s="21">
        <v>0.105</v>
      </c>
      <c r="E565" s="21">
        <v>0.03</v>
      </c>
      <c r="F565" s="22">
        <v>10.0</v>
      </c>
      <c r="G565" s="23"/>
      <c r="H565" s="24" t="s">
        <v>3952</v>
      </c>
      <c r="I565" s="21" t="s">
        <v>3953</v>
      </c>
      <c r="J565" s="19" t="s">
        <v>1175</v>
      </c>
      <c r="K565" s="24" t="s">
        <v>3954</v>
      </c>
      <c r="L565" s="20" t="s">
        <v>3955</v>
      </c>
      <c r="M565" s="25" t="s">
        <v>3956</v>
      </c>
      <c r="N565" s="26" t="s">
        <v>28</v>
      </c>
      <c r="O565" s="24" t="s">
        <v>2364</v>
      </c>
      <c r="P565" s="24" t="s">
        <v>2365</v>
      </c>
      <c r="Q565" s="27"/>
      <c r="R565" s="27"/>
      <c r="S565" s="28" t="s">
        <v>3957</v>
      </c>
      <c r="T565" s="8" t="s">
        <v>3958</v>
      </c>
      <c r="U565" s="29" t="s">
        <v>3959</v>
      </c>
      <c r="V565" s="24" t="str">
        <f>iferror(VLOOKUP(A565,'tagging table'!A:G,7,0),"")</f>
        <v>Waffles &amp; cookies</v>
      </c>
    </row>
    <row r="566">
      <c r="A566" s="30">
        <v>7.290106669406E12</v>
      </c>
      <c r="B566" s="20" t="s">
        <v>3960</v>
      </c>
      <c r="C566" s="21">
        <v>0.275</v>
      </c>
      <c r="D566" s="21">
        <v>0.105</v>
      </c>
      <c r="E566" s="21">
        <v>0.03</v>
      </c>
      <c r="F566" s="22">
        <v>10.0</v>
      </c>
      <c r="G566" s="23"/>
      <c r="H566" s="24" t="s">
        <v>3952</v>
      </c>
      <c r="I566" s="21" t="s">
        <v>3953</v>
      </c>
      <c r="J566" s="19" t="s">
        <v>1175</v>
      </c>
      <c r="K566" s="24" t="s">
        <v>3961</v>
      </c>
      <c r="L566" s="20" t="s">
        <v>3962</v>
      </c>
      <c r="M566" s="25" t="s">
        <v>3963</v>
      </c>
      <c r="N566" s="26" t="s">
        <v>28</v>
      </c>
      <c r="O566" s="24" t="s">
        <v>2364</v>
      </c>
      <c r="P566" s="24" t="s">
        <v>2365</v>
      </c>
      <c r="Q566" s="27"/>
      <c r="R566" s="27"/>
      <c r="S566" s="28" t="s">
        <v>3964</v>
      </c>
      <c r="T566" s="8" t="s">
        <v>3965</v>
      </c>
      <c r="U566" s="29" t="s">
        <v>3959</v>
      </c>
      <c r="V566" s="24" t="str">
        <f>iferror(VLOOKUP(A566,'tagging table'!A:G,7,0),"")</f>
        <v>Waffles &amp; cookies</v>
      </c>
    </row>
    <row r="567">
      <c r="A567" s="30">
        <v>7.290107937597E12</v>
      </c>
      <c r="B567" s="20" t="s">
        <v>3966</v>
      </c>
      <c r="C567" s="21">
        <v>0.16</v>
      </c>
      <c r="D567" s="21">
        <v>0.05</v>
      </c>
      <c r="E567" s="21">
        <v>0.03</v>
      </c>
      <c r="F567" s="22">
        <v>10.0</v>
      </c>
      <c r="G567" s="23"/>
      <c r="H567" s="24" t="s">
        <v>3952</v>
      </c>
      <c r="I567" s="21" t="s">
        <v>3953</v>
      </c>
      <c r="J567" s="49"/>
      <c r="K567" s="24" t="s">
        <v>3967</v>
      </c>
      <c r="L567" s="20" t="s">
        <v>3968</v>
      </c>
      <c r="M567" s="25" t="s">
        <v>3969</v>
      </c>
      <c r="N567" s="26" t="s">
        <v>28</v>
      </c>
      <c r="O567" s="24" t="s">
        <v>501</v>
      </c>
      <c r="P567" s="24" t="s">
        <v>502</v>
      </c>
      <c r="Q567" s="27"/>
      <c r="R567" s="27"/>
      <c r="S567" s="31" t="s">
        <v>3970</v>
      </c>
      <c r="T567" s="33" t="s">
        <v>3971</v>
      </c>
      <c r="U567" s="29" t="s">
        <v>3972</v>
      </c>
      <c r="V567" s="24" t="str">
        <f>iferror(VLOOKUP(A567,'tagging table'!A:G,7,0),"")</f>
        <v>Cashiers</v>
      </c>
    </row>
    <row r="568">
      <c r="A568" s="30">
        <v>7.290112332707E12</v>
      </c>
      <c r="B568" s="20" t="s">
        <v>3973</v>
      </c>
      <c r="C568" s="21">
        <v>0.11</v>
      </c>
      <c r="D568" s="21">
        <v>0.23</v>
      </c>
      <c r="E568" s="21">
        <v>0.035</v>
      </c>
      <c r="F568" s="22">
        <v>9.0</v>
      </c>
      <c r="G568" s="23"/>
      <c r="H568" s="24" t="s">
        <v>3952</v>
      </c>
      <c r="I568" s="21" t="s">
        <v>3953</v>
      </c>
      <c r="J568" s="19" t="s">
        <v>1175</v>
      </c>
      <c r="K568" s="24" t="s">
        <v>3974</v>
      </c>
      <c r="L568" s="20" t="s">
        <v>3975</v>
      </c>
      <c r="M568" s="25" t="s">
        <v>3976</v>
      </c>
      <c r="N568" s="26" t="s">
        <v>28</v>
      </c>
      <c r="O568" s="24" t="s">
        <v>2364</v>
      </c>
      <c r="P568" s="24" t="s">
        <v>2365</v>
      </c>
      <c r="Q568" s="27"/>
      <c r="R568" s="27"/>
      <c r="S568" s="28" t="s">
        <v>3977</v>
      </c>
      <c r="T568" s="33" t="s">
        <v>3978</v>
      </c>
      <c r="U568" s="29" t="s">
        <v>3959</v>
      </c>
      <c r="V568" s="24" t="str">
        <f>iferror(VLOOKUP(A568,'tagging table'!A:G,7,0),"")</f>
        <v>Waffles &amp; cookies</v>
      </c>
    </row>
    <row r="569">
      <c r="A569" s="30">
        <v>7.290112331946E12</v>
      </c>
      <c r="B569" s="20" t="s">
        <v>3979</v>
      </c>
      <c r="C569" s="21">
        <v>0.26</v>
      </c>
      <c r="D569" s="21">
        <v>0.09</v>
      </c>
      <c r="E569" s="21">
        <v>0.03</v>
      </c>
      <c r="F569" s="22">
        <v>10.0</v>
      </c>
      <c r="G569" s="23"/>
      <c r="H569" s="24" t="s">
        <v>3952</v>
      </c>
      <c r="I569" s="21" t="s">
        <v>3953</v>
      </c>
      <c r="J569" s="19" t="s">
        <v>1175</v>
      </c>
      <c r="K569" s="24" t="s">
        <v>3980</v>
      </c>
      <c r="L569" s="20" t="s">
        <v>3981</v>
      </c>
      <c r="M569" s="25" t="s">
        <v>3982</v>
      </c>
      <c r="N569" s="26" t="s">
        <v>28</v>
      </c>
      <c r="O569" s="24" t="s">
        <v>2364</v>
      </c>
      <c r="P569" s="24" t="s">
        <v>2365</v>
      </c>
      <c r="Q569" s="27"/>
      <c r="R569" s="27"/>
      <c r="S569" s="28" t="s">
        <v>3983</v>
      </c>
      <c r="T569" s="33" t="s">
        <v>3984</v>
      </c>
      <c r="U569" s="29" t="s">
        <v>3959</v>
      </c>
      <c r="V569" s="24" t="str">
        <f>iferror(VLOOKUP(A569,'tagging table'!A:G,7,0),"")</f>
        <v>Waffles &amp; cookies</v>
      </c>
    </row>
    <row r="570">
      <c r="A570" s="30">
        <v>7.290104061219E12</v>
      </c>
      <c r="B570" s="20" t="s">
        <v>3985</v>
      </c>
      <c r="C570" s="21">
        <v>0.26</v>
      </c>
      <c r="D570" s="21">
        <v>0.09</v>
      </c>
      <c r="E570" s="21">
        <v>0.03</v>
      </c>
      <c r="F570" s="22">
        <v>10.0</v>
      </c>
      <c r="G570" s="23"/>
      <c r="H570" s="24" t="s">
        <v>3952</v>
      </c>
      <c r="I570" s="21" t="s">
        <v>3953</v>
      </c>
      <c r="J570" s="19" t="s">
        <v>1175</v>
      </c>
      <c r="K570" s="24" t="s">
        <v>3986</v>
      </c>
      <c r="L570" s="20" t="s">
        <v>3987</v>
      </c>
      <c r="M570" s="25" t="s">
        <v>3988</v>
      </c>
      <c r="N570" s="26" t="s">
        <v>28</v>
      </c>
      <c r="O570" s="24" t="s">
        <v>2364</v>
      </c>
      <c r="P570" s="24" t="s">
        <v>2365</v>
      </c>
      <c r="Q570" s="27"/>
      <c r="R570" s="27"/>
      <c r="S570" s="28" t="s">
        <v>3989</v>
      </c>
      <c r="T570" s="8" t="s">
        <v>3990</v>
      </c>
      <c r="U570" s="29" t="s">
        <v>3959</v>
      </c>
      <c r="V570" s="24" t="str">
        <f>iferror(VLOOKUP(A570,'tagging table'!A:G,7,0),"")</f>
        <v>Waffles &amp; cookies</v>
      </c>
    </row>
    <row r="571">
      <c r="A571" s="30">
        <v>7.290106520066E12</v>
      </c>
      <c r="B571" s="20" t="s">
        <v>3991</v>
      </c>
      <c r="C571" s="21">
        <v>0.26</v>
      </c>
      <c r="D571" s="21">
        <v>0.09</v>
      </c>
      <c r="E571" s="21">
        <v>0.03</v>
      </c>
      <c r="F571" s="22">
        <v>10.0</v>
      </c>
      <c r="G571" s="23"/>
      <c r="H571" s="24" t="s">
        <v>3952</v>
      </c>
      <c r="I571" s="21" t="s">
        <v>3953</v>
      </c>
      <c r="J571" s="19" t="s">
        <v>1175</v>
      </c>
      <c r="K571" s="24" t="s">
        <v>3992</v>
      </c>
      <c r="L571" s="20" t="s">
        <v>3993</v>
      </c>
      <c r="M571" s="25" t="s">
        <v>3994</v>
      </c>
      <c r="N571" s="26" t="s">
        <v>28</v>
      </c>
      <c r="O571" s="24" t="s">
        <v>2364</v>
      </c>
      <c r="P571" s="24" t="s">
        <v>2365</v>
      </c>
      <c r="Q571" s="27"/>
      <c r="R571" s="27"/>
      <c r="S571" s="28" t="s">
        <v>3995</v>
      </c>
      <c r="T571" s="8" t="s">
        <v>3996</v>
      </c>
      <c r="U571" s="29" t="s">
        <v>3959</v>
      </c>
      <c r="V571" s="24" t="str">
        <f>iferror(VLOOKUP(A571,'tagging table'!A:G,7,0),"")</f>
        <v>Waffles &amp; cookies</v>
      </c>
    </row>
    <row r="572">
      <c r="A572" s="30">
        <v>7.290107944366E12</v>
      </c>
      <c r="B572" s="20" t="s">
        <v>3997</v>
      </c>
      <c r="C572" s="21">
        <v>0.26</v>
      </c>
      <c r="D572" s="21">
        <v>0.09</v>
      </c>
      <c r="E572" s="21">
        <v>0.03</v>
      </c>
      <c r="F572" s="22">
        <v>10.0</v>
      </c>
      <c r="G572" s="23"/>
      <c r="H572" s="24" t="s">
        <v>3952</v>
      </c>
      <c r="I572" s="21" t="s">
        <v>3953</v>
      </c>
      <c r="J572" s="19" t="s">
        <v>1175</v>
      </c>
      <c r="K572" s="24" t="s">
        <v>3998</v>
      </c>
      <c r="L572" s="20" t="s">
        <v>3999</v>
      </c>
      <c r="M572" s="25" t="s">
        <v>4000</v>
      </c>
      <c r="N572" s="26" t="s">
        <v>28</v>
      </c>
      <c r="O572" s="24" t="s">
        <v>2364</v>
      </c>
      <c r="P572" s="24" t="s">
        <v>2365</v>
      </c>
      <c r="Q572" s="27"/>
      <c r="R572" s="27"/>
      <c r="S572" s="28" t="s">
        <v>4001</v>
      </c>
      <c r="T572" s="8" t="s">
        <v>4002</v>
      </c>
      <c r="U572" s="29" t="s">
        <v>3959</v>
      </c>
      <c r="V572" s="24" t="str">
        <f>iferror(VLOOKUP(A572,'tagging table'!A:G,7,0),"")</f>
        <v>Waffles &amp; cookies</v>
      </c>
    </row>
    <row r="573">
      <c r="A573" s="30">
        <v>44248.0</v>
      </c>
      <c r="B573" s="20" t="s">
        <v>4003</v>
      </c>
      <c r="C573" s="21">
        <v>0.073</v>
      </c>
      <c r="D573" s="21">
        <v>0.14</v>
      </c>
      <c r="E573" s="21">
        <v>0.073</v>
      </c>
      <c r="F573" s="22">
        <v>4.0</v>
      </c>
      <c r="G573" s="23"/>
      <c r="H573" s="24" t="s">
        <v>4004</v>
      </c>
      <c r="I573" s="21" t="s">
        <v>4005</v>
      </c>
      <c r="J573" s="49"/>
      <c r="K573" s="24" t="s">
        <v>4006</v>
      </c>
      <c r="L573" s="20" t="s">
        <v>4007</v>
      </c>
      <c r="M573" s="25" t="s">
        <v>4008</v>
      </c>
      <c r="N573" s="26" t="s">
        <v>28</v>
      </c>
      <c r="O573" s="24" t="s">
        <v>975</v>
      </c>
      <c r="P573" s="24" t="s">
        <v>4009</v>
      </c>
      <c r="Q573" s="27"/>
      <c r="R573" s="27"/>
      <c r="S573" s="31" t="s">
        <v>4010</v>
      </c>
      <c r="T573" s="33" t="s">
        <v>4011</v>
      </c>
      <c r="U573" s="29" t="s">
        <v>4005</v>
      </c>
      <c r="V573" s="24" t="str">
        <f>iferror(VLOOKUP(A573,'tagging table'!A:G,7,0),"")</f>
        <v>Dairy</v>
      </c>
    </row>
    <row r="574">
      <c r="A574" s="30">
        <v>7.29001011797E12</v>
      </c>
      <c r="B574" s="20" t="s">
        <v>4012</v>
      </c>
      <c r="C574" s="21">
        <v>0.06</v>
      </c>
      <c r="D574" s="21">
        <v>0.075</v>
      </c>
      <c r="E574" s="21">
        <v>0.24</v>
      </c>
      <c r="F574" s="22">
        <v>1.0</v>
      </c>
      <c r="G574" s="23"/>
      <c r="H574" s="24" t="s">
        <v>4013</v>
      </c>
      <c r="I574" s="21" t="s">
        <v>4014</v>
      </c>
      <c r="J574" s="49"/>
      <c r="K574" s="24" t="s">
        <v>4015</v>
      </c>
      <c r="L574" s="20" t="s">
        <v>4016</v>
      </c>
      <c r="M574" s="25" t="s">
        <v>4017</v>
      </c>
      <c r="N574" s="26" t="s">
        <v>28</v>
      </c>
      <c r="O574" s="24" t="s">
        <v>1794</v>
      </c>
      <c r="P574" s="24" t="s">
        <v>1854</v>
      </c>
      <c r="Q574" s="27"/>
      <c r="R574" s="27"/>
      <c r="S574" s="31" t="s">
        <v>4018</v>
      </c>
      <c r="T574" s="33" t="s">
        <v>4019</v>
      </c>
      <c r="U574" s="29" t="s">
        <v>4014</v>
      </c>
      <c r="V574" s="21" t="s">
        <v>1798</v>
      </c>
    </row>
    <row r="575">
      <c r="A575" s="30">
        <v>7.290106653504E12</v>
      </c>
      <c r="B575" s="20" t="s">
        <v>4020</v>
      </c>
      <c r="C575" s="21">
        <v>0.06</v>
      </c>
      <c r="D575" s="21">
        <v>0.075</v>
      </c>
      <c r="E575" s="21">
        <v>0.24</v>
      </c>
      <c r="F575" s="22">
        <v>1.0</v>
      </c>
      <c r="G575" s="23"/>
      <c r="H575" s="24" t="s">
        <v>4013</v>
      </c>
      <c r="I575" s="21" t="s">
        <v>4014</v>
      </c>
      <c r="J575" s="49"/>
      <c r="K575" s="24" t="s">
        <v>4021</v>
      </c>
      <c r="L575" s="20" t="s">
        <v>4022</v>
      </c>
      <c r="M575" s="25" t="s">
        <v>4023</v>
      </c>
      <c r="N575" s="26" t="s">
        <v>28</v>
      </c>
      <c r="O575" s="24" t="s">
        <v>1794</v>
      </c>
      <c r="P575" s="24" t="s">
        <v>1854</v>
      </c>
      <c r="Q575" s="27"/>
      <c r="R575" s="27"/>
      <c r="S575" s="31" t="s">
        <v>4024</v>
      </c>
      <c r="T575" s="33" t="s">
        <v>4025</v>
      </c>
      <c r="U575" s="29" t="s">
        <v>4014</v>
      </c>
      <c r="V575" s="21" t="s">
        <v>1798</v>
      </c>
    </row>
    <row r="576">
      <c r="A576" s="30">
        <v>8.001620015636E12</v>
      </c>
      <c r="B576" s="20" t="s">
        <v>4026</v>
      </c>
      <c r="C576" s="21">
        <v>0.055</v>
      </c>
      <c r="D576" s="21">
        <v>0.205</v>
      </c>
      <c r="E576" s="21">
        <v>0.055</v>
      </c>
      <c r="F576" s="22">
        <v>5.0</v>
      </c>
      <c r="G576" s="23"/>
      <c r="H576" s="24" t="s">
        <v>4027</v>
      </c>
      <c r="I576" s="21" t="s">
        <v>4028</v>
      </c>
      <c r="J576" s="9" t="s">
        <v>133</v>
      </c>
      <c r="K576" s="24" t="s">
        <v>4029</v>
      </c>
      <c r="L576" s="20" t="s">
        <v>4030</v>
      </c>
      <c r="M576" s="25" t="s">
        <v>4031</v>
      </c>
      <c r="N576" s="26" t="s">
        <v>37</v>
      </c>
      <c r="O576" s="24" t="s">
        <v>1555</v>
      </c>
      <c r="P576" s="24" t="s">
        <v>1556</v>
      </c>
      <c r="Q576" s="27"/>
      <c r="R576" s="27"/>
      <c r="S576" s="28" t="s">
        <v>4032</v>
      </c>
      <c r="T576" s="8" t="s">
        <v>4033</v>
      </c>
      <c r="U576" s="29" t="e">
        <v>#N/A</v>
      </c>
      <c r="V576" s="21" t="s">
        <v>573</v>
      </c>
    </row>
    <row r="577">
      <c r="A577" s="30">
        <v>8.001620015612E12</v>
      </c>
      <c r="B577" s="20" t="s">
        <v>4034</v>
      </c>
      <c r="C577" s="21">
        <v>0.055</v>
      </c>
      <c r="D577" s="21">
        <v>0.205</v>
      </c>
      <c r="E577" s="21">
        <v>0.055</v>
      </c>
      <c r="F577" s="22">
        <v>5.0</v>
      </c>
      <c r="G577" s="23"/>
      <c r="H577" s="24" t="s">
        <v>4027</v>
      </c>
      <c r="I577" s="21" t="s">
        <v>4028</v>
      </c>
      <c r="J577" s="9" t="s">
        <v>133</v>
      </c>
      <c r="K577" s="24" t="s">
        <v>4035</v>
      </c>
      <c r="L577" s="20" t="s">
        <v>4036</v>
      </c>
      <c r="M577" s="25" t="s">
        <v>4037</v>
      </c>
      <c r="N577" s="26" t="s">
        <v>37</v>
      </c>
      <c r="O577" s="24" t="s">
        <v>1555</v>
      </c>
      <c r="P577" s="24" t="s">
        <v>1556</v>
      </c>
      <c r="Q577" s="27"/>
      <c r="R577" s="27"/>
      <c r="S577" s="28" t="s">
        <v>4038</v>
      </c>
      <c r="T577" s="8" t="s">
        <v>4039</v>
      </c>
      <c r="U577" s="29" t="e">
        <v>#N/A</v>
      </c>
      <c r="V577" s="21" t="s">
        <v>573</v>
      </c>
    </row>
    <row r="578">
      <c r="A578" s="30">
        <v>7.290008464505E12</v>
      </c>
      <c r="B578" s="20" t="s">
        <v>4040</v>
      </c>
      <c r="C578" s="21">
        <v>0.065</v>
      </c>
      <c r="D578" s="21">
        <v>0.21</v>
      </c>
      <c r="E578" s="21">
        <v>0.065</v>
      </c>
      <c r="F578" s="22">
        <v>5.0</v>
      </c>
      <c r="G578" s="23"/>
      <c r="H578" s="24" t="s">
        <v>4041</v>
      </c>
      <c r="I578" s="21" t="s">
        <v>4028</v>
      </c>
      <c r="J578" s="9" t="s">
        <v>133</v>
      </c>
      <c r="K578" s="24" t="s">
        <v>4042</v>
      </c>
      <c r="L578" s="20" t="s">
        <v>4043</v>
      </c>
      <c r="M578" s="25" t="s">
        <v>4044</v>
      </c>
      <c r="N578" s="26" t="s">
        <v>37</v>
      </c>
      <c r="O578" s="24" t="s">
        <v>718</v>
      </c>
      <c r="P578" s="24" t="s">
        <v>719</v>
      </c>
      <c r="Q578" s="27"/>
      <c r="R578" s="27"/>
      <c r="S578" s="31" t="s">
        <v>4045</v>
      </c>
      <c r="T578" s="33" t="s">
        <v>4046</v>
      </c>
      <c r="U578" s="29" t="e">
        <v>#N/A</v>
      </c>
      <c r="V578" s="21" t="s">
        <v>573</v>
      </c>
    </row>
    <row r="579">
      <c r="A579" s="30">
        <v>8.002270846472E12</v>
      </c>
      <c r="B579" s="20" t="s">
        <v>4047</v>
      </c>
      <c r="C579" s="21">
        <v>0.062</v>
      </c>
      <c r="D579" s="21">
        <v>0.23</v>
      </c>
      <c r="E579" s="21">
        <v>0.062</v>
      </c>
      <c r="F579" s="22">
        <v>5.0</v>
      </c>
      <c r="G579" s="23"/>
      <c r="H579" s="24" t="s">
        <v>4048</v>
      </c>
      <c r="I579" s="21" t="s">
        <v>4049</v>
      </c>
      <c r="J579" s="20" t="s">
        <v>508</v>
      </c>
      <c r="K579" s="24" t="s">
        <v>4050</v>
      </c>
      <c r="L579" s="20" t="s">
        <v>4051</v>
      </c>
      <c r="M579" s="25" t="s">
        <v>4052</v>
      </c>
      <c r="N579" s="26" t="s">
        <v>28</v>
      </c>
      <c r="O579" s="24" t="s">
        <v>1385</v>
      </c>
      <c r="P579" s="24" t="s">
        <v>1386</v>
      </c>
      <c r="Q579" s="27"/>
      <c r="R579" s="27"/>
      <c r="S579" s="28" t="s">
        <v>4053</v>
      </c>
      <c r="T579" s="8" t="s">
        <v>4054</v>
      </c>
      <c r="U579" s="29" t="s">
        <v>4055</v>
      </c>
      <c r="V579" s="24" t="str">
        <f>iferror(VLOOKUP(A579,'tagging table'!A:G,7,0),"")</f>
        <v>Drinks</v>
      </c>
    </row>
    <row r="580">
      <c r="A580" s="30">
        <v>8.850389115312E12</v>
      </c>
      <c r="B580" s="20" t="s">
        <v>4056</v>
      </c>
      <c r="C580" s="21">
        <v>0.053</v>
      </c>
      <c r="D580" s="21">
        <v>0.193</v>
      </c>
      <c r="E580" s="21">
        <v>0.053</v>
      </c>
      <c r="F580" s="22">
        <v>6.0</v>
      </c>
      <c r="G580" s="23"/>
      <c r="H580" s="24" t="s">
        <v>4057</v>
      </c>
      <c r="I580" s="21" t="s">
        <v>4058</v>
      </c>
      <c r="J580" s="20" t="s">
        <v>4058</v>
      </c>
      <c r="K580" s="24" t="s">
        <v>4059</v>
      </c>
      <c r="L580" s="20" t="s">
        <v>4060</v>
      </c>
      <c r="M580" s="25" t="s">
        <v>4061</v>
      </c>
      <c r="N580" s="26" t="s">
        <v>28</v>
      </c>
      <c r="O580" s="24" t="s">
        <v>3064</v>
      </c>
      <c r="P580" s="24" t="s">
        <v>3065</v>
      </c>
      <c r="Q580" s="27"/>
      <c r="R580" s="27"/>
      <c r="S580" s="28" t="s">
        <v>4062</v>
      </c>
      <c r="T580" s="8" t="s">
        <v>4063</v>
      </c>
      <c r="U580" s="29" t="s">
        <v>4058</v>
      </c>
      <c r="V580" s="24" t="str">
        <f>iferror(VLOOKUP(A580,'tagging table'!A:G,7,0),"")</f>
        <v>Drinks</v>
      </c>
    </row>
    <row r="581">
      <c r="A581" s="30">
        <v>8.850389115336E12</v>
      </c>
      <c r="B581" s="20" t="s">
        <v>4064</v>
      </c>
      <c r="C581" s="21">
        <v>0.08</v>
      </c>
      <c r="D581" s="21">
        <v>0.295</v>
      </c>
      <c r="E581" s="21">
        <v>0.08</v>
      </c>
      <c r="F581" s="22">
        <v>4.0</v>
      </c>
      <c r="G581" s="23"/>
      <c r="H581" s="24" t="s">
        <v>4057</v>
      </c>
      <c r="I581" s="21" t="s">
        <v>4058</v>
      </c>
      <c r="J581" s="20" t="s">
        <v>4058</v>
      </c>
      <c r="K581" s="24" t="s">
        <v>4065</v>
      </c>
      <c r="L581" s="20" t="s">
        <v>4066</v>
      </c>
      <c r="M581" s="25" t="s">
        <v>4067</v>
      </c>
      <c r="N581" s="26" t="s">
        <v>28</v>
      </c>
      <c r="O581" s="24" t="s">
        <v>3064</v>
      </c>
      <c r="P581" s="24" t="s">
        <v>3078</v>
      </c>
      <c r="Q581" s="27"/>
      <c r="R581" s="27"/>
      <c r="S581" s="28" t="s">
        <v>4068</v>
      </c>
      <c r="T581" s="33" t="s">
        <v>4069</v>
      </c>
      <c r="U581" s="29" t="s">
        <v>4058</v>
      </c>
      <c r="V581" s="24" t="str">
        <f>iferror(VLOOKUP(A581,'tagging table'!A:G,7,0),"")</f>
        <v>Drinks</v>
      </c>
    </row>
    <row r="582">
      <c r="A582" s="30">
        <v>8.850389105832E12</v>
      </c>
      <c r="B582" s="20" t="s">
        <v>4070</v>
      </c>
      <c r="C582" s="21">
        <v>0.08</v>
      </c>
      <c r="D582" s="21">
        <v>0.295</v>
      </c>
      <c r="E582" s="21">
        <v>0.08</v>
      </c>
      <c r="F582" s="22">
        <v>4.0</v>
      </c>
      <c r="G582" s="23"/>
      <c r="H582" s="24" t="s">
        <v>4057</v>
      </c>
      <c r="I582" s="21" t="s">
        <v>4058</v>
      </c>
      <c r="J582" s="20" t="s">
        <v>4058</v>
      </c>
      <c r="K582" s="24" t="s">
        <v>4071</v>
      </c>
      <c r="L582" s="20" t="s">
        <v>4072</v>
      </c>
      <c r="M582" s="25" t="s">
        <v>4073</v>
      </c>
      <c r="N582" s="26" t="s">
        <v>28</v>
      </c>
      <c r="O582" s="24" t="s">
        <v>3064</v>
      </c>
      <c r="P582" s="24" t="s">
        <v>3078</v>
      </c>
      <c r="Q582" s="27"/>
      <c r="R582" s="27"/>
      <c r="S582" s="31" t="s">
        <v>4074</v>
      </c>
      <c r="T582" s="8" t="s">
        <v>4075</v>
      </c>
      <c r="U582" s="29" t="s">
        <v>4058</v>
      </c>
      <c r="V582" s="24" t="str">
        <f>iferror(VLOOKUP(A582,'tagging table'!A:G,7,0),"")</f>
        <v>Drinks</v>
      </c>
    </row>
    <row r="583">
      <c r="A583" s="30">
        <v>8.850389103111E12</v>
      </c>
      <c r="B583" s="20" t="s">
        <v>4076</v>
      </c>
      <c r="C583" s="21">
        <v>0.053</v>
      </c>
      <c r="D583" s="21">
        <v>0.193</v>
      </c>
      <c r="E583" s="21">
        <v>0.053</v>
      </c>
      <c r="F583" s="22">
        <v>6.0</v>
      </c>
      <c r="G583" s="23"/>
      <c r="H583" s="24" t="s">
        <v>4057</v>
      </c>
      <c r="I583" s="21" t="s">
        <v>4058</v>
      </c>
      <c r="J583" s="20" t="s">
        <v>4058</v>
      </c>
      <c r="K583" s="24" t="s">
        <v>4077</v>
      </c>
      <c r="L583" s="20" t="s">
        <v>4078</v>
      </c>
      <c r="M583" s="25" t="s">
        <v>4079</v>
      </c>
      <c r="N583" s="26" t="s">
        <v>28</v>
      </c>
      <c r="O583" s="24" t="s">
        <v>3064</v>
      </c>
      <c r="P583" s="24" t="s">
        <v>3065</v>
      </c>
      <c r="Q583" s="27"/>
      <c r="R583" s="27"/>
      <c r="S583" s="28" t="s">
        <v>4080</v>
      </c>
      <c r="T583" s="8" t="s">
        <v>4081</v>
      </c>
      <c r="U583" s="29" t="s">
        <v>4058</v>
      </c>
      <c r="V583" s="24" t="str">
        <f>iferror(VLOOKUP(A583,'tagging table'!A:G,7,0),"")</f>
        <v>Drinks</v>
      </c>
    </row>
    <row r="584">
      <c r="A584" s="30">
        <v>8.850389103128E12</v>
      </c>
      <c r="B584" s="20" t="s">
        <v>4082</v>
      </c>
      <c r="C584" s="21">
        <v>0.053</v>
      </c>
      <c r="D584" s="21">
        <v>0.193</v>
      </c>
      <c r="E584" s="21">
        <v>0.053</v>
      </c>
      <c r="F584" s="22">
        <v>6.0</v>
      </c>
      <c r="G584" s="23"/>
      <c r="H584" s="24" t="s">
        <v>4057</v>
      </c>
      <c r="I584" s="21" t="s">
        <v>4058</v>
      </c>
      <c r="J584" s="20" t="s">
        <v>4058</v>
      </c>
      <c r="K584" s="24" t="s">
        <v>4083</v>
      </c>
      <c r="L584" s="20" t="s">
        <v>4084</v>
      </c>
      <c r="M584" s="25" t="s">
        <v>4085</v>
      </c>
      <c r="N584" s="26" t="s">
        <v>28</v>
      </c>
      <c r="O584" s="24" t="s">
        <v>3064</v>
      </c>
      <c r="P584" s="24" t="s">
        <v>3065</v>
      </c>
      <c r="Q584" s="27"/>
      <c r="R584" s="27"/>
      <c r="S584" s="28" t="s">
        <v>4086</v>
      </c>
      <c r="T584" s="8" t="s">
        <v>4087</v>
      </c>
      <c r="U584" s="29" t="s">
        <v>4058</v>
      </c>
      <c r="V584" s="24" t="str">
        <f>iferror(VLOOKUP(A584,'tagging table'!A:G,7,0),"")</f>
        <v>Drinks</v>
      </c>
    </row>
    <row r="585">
      <c r="A585" s="30">
        <v>8.850389105849E12</v>
      </c>
      <c r="B585" s="20" t="s">
        <v>4088</v>
      </c>
      <c r="C585" s="21">
        <v>0.08</v>
      </c>
      <c r="D585" s="21">
        <v>0.295</v>
      </c>
      <c r="E585" s="21">
        <v>0.08</v>
      </c>
      <c r="F585" s="22">
        <v>4.0</v>
      </c>
      <c r="G585" s="23"/>
      <c r="H585" s="24" t="s">
        <v>4057</v>
      </c>
      <c r="I585" s="21" t="s">
        <v>4058</v>
      </c>
      <c r="J585" s="20" t="s">
        <v>4058</v>
      </c>
      <c r="K585" s="24" t="s">
        <v>4089</v>
      </c>
      <c r="L585" s="20" t="s">
        <v>4090</v>
      </c>
      <c r="M585" s="25" t="s">
        <v>4091</v>
      </c>
      <c r="N585" s="26" t="s">
        <v>28</v>
      </c>
      <c r="O585" s="24" t="s">
        <v>3064</v>
      </c>
      <c r="P585" s="24" t="s">
        <v>3078</v>
      </c>
      <c r="Q585" s="27"/>
      <c r="R585" s="27"/>
      <c r="S585" s="31" t="s">
        <v>4092</v>
      </c>
      <c r="T585" s="8" t="s">
        <v>4093</v>
      </c>
      <c r="U585" s="29" t="s">
        <v>4058</v>
      </c>
      <c r="V585" s="24" t="str">
        <f>iferror(VLOOKUP(A585,'tagging table'!A:G,7,0),"")</f>
        <v>Drinks</v>
      </c>
    </row>
    <row r="586">
      <c r="A586" s="30">
        <v>8.850389105825E12</v>
      </c>
      <c r="B586" s="20" t="s">
        <v>4094</v>
      </c>
      <c r="C586" s="21">
        <v>0.08</v>
      </c>
      <c r="D586" s="21">
        <v>0.295</v>
      </c>
      <c r="E586" s="21">
        <v>0.08</v>
      </c>
      <c r="F586" s="22">
        <v>4.0</v>
      </c>
      <c r="G586" s="23"/>
      <c r="H586" s="24" t="s">
        <v>4057</v>
      </c>
      <c r="I586" s="21" t="s">
        <v>4058</v>
      </c>
      <c r="J586" s="20" t="s">
        <v>4058</v>
      </c>
      <c r="K586" s="24" t="s">
        <v>4095</v>
      </c>
      <c r="L586" s="20" t="s">
        <v>4096</v>
      </c>
      <c r="M586" s="25" t="s">
        <v>4097</v>
      </c>
      <c r="N586" s="26" t="s">
        <v>28</v>
      </c>
      <c r="O586" s="24" t="s">
        <v>3064</v>
      </c>
      <c r="P586" s="24" t="s">
        <v>3078</v>
      </c>
      <c r="Q586" s="27"/>
      <c r="R586" s="27"/>
      <c r="S586" s="28" t="s">
        <v>4098</v>
      </c>
      <c r="T586" s="8" t="s">
        <v>4099</v>
      </c>
      <c r="U586" s="29" t="s">
        <v>4058</v>
      </c>
      <c r="V586" s="24" t="str">
        <f>iferror(VLOOKUP(A586,'tagging table'!A:G,7,0),"")</f>
        <v>Drinks</v>
      </c>
    </row>
    <row r="587">
      <c r="A587" s="30">
        <v>8.850389104637E12</v>
      </c>
      <c r="B587" s="20" t="s">
        <v>4100</v>
      </c>
      <c r="C587" s="21">
        <v>0.053</v>
      </c>
      <c r="D587" s="21">
        <v>0.193</v>
      </c>
      <c r="E587" s="21">
        <v>0.053</v>
      </c>
      <c r="F587" s="22">
        <v>6.0</v>
      </c>
      <c r="G587" s="23"/>
      <c r="H587" s="24" t="s">
        <v>4057</v>
      </c>
      <c r="I587" s="21" t="s">
        <v>4058</v>
      </c>
      <c r="J587" s="20" t="s">
        <v>4058</v>
      </c>
      <c r="K587" s="24" t="s">
        <v>4101</v>
      </c>
      <c r="L587" s="20" t="s">
        <v>4102</v>
      </c>
      <c r="M587" s="25" t="s">
        <v>4103</v>
      </c>
      <c r="N587" s="26" t="s">
        <v>28</v>
      </c>
      <c r="O587" s="24" t="s">
        <v>3064</v>
      </c>
      <c r="P587" s="24" t="s">
        <v>3065</v>
      </c>
      <c r="Q587" s="27"/>
      <c r="R587" s="27"/>
      <c r="S587" s="28" t="s">
        <v>4104</v>
      </c>
      <c r="T587" s="8" t="s">
        <v>4105</v>
      </c>
      <c r="U587" s="29" t="s">
        <v>4058</v>
      </c>
      <c r="V587" s="24" t="str">
        <f>iferror(VLOOKUP(A587,'tagging table'!A:G,7,0),"")</f>
        <v>Drinks</v>
      </c>
    </row>
    <row r="588">
      <c r="A588" s="30">
        <v>7.290017888866E12</v>
      </c>
      <c r="B588" s="20" t="s">
        <v>4106</v>
      </c>
      <c r="C588" s="21">
        <v>0.058</v>
      </c>
      <c r="D588" s="21">
        <v>0.145</v>
      </c>
      <c r="E588" s="21">
        <v>0.058</v>
      </c>
      <c r="F588" s="22">
        <v>5.0</v>
      </c>
      <c r="G588" s="23"/>
      <c r="H588" s="24" t="s">
        <v>4107</v>
      </c>
      <c r="I588" s="21" t="s">
        <v>4108</v>
      </c>
      <c r="J588" s="20" t="s">
        <v>4108</v>
      </c>
      <c r="K588" s="24" t="s">
        <v>4109</v>
      </c>
      <c r="L588" s="20" t="s">
        <v>4110</v>
      </c>
      <c r="M588" s="25" t="s">
        <v>4111</v>
      </c>
      <c r="N588" s="26" t="s">
        <v>28</v>
      </c>
      <c r="O588" s="24" t="s">
        <v>1351</v>
      </c>
      <c r="P588" s="24" t="s">
        <v>1359</v>
      </c>
      <c r="Q588" s="27"/>
      <c r="R588" s="27"/>
      <c r="S588" s="28" t="s">
        <v>4112</v>
      </c>
      <c r="T588" s="8" t="s">
        <v>4113</v>
      </c>
      <c r="U588" s="29" t="s">
        <v>4108</v>
      </c>
      <c r="V588" s="24" t="str">
        <f>iferror(VLOOKUP(A588,'tagging table'!A:G,7,0),"")</f>
        <v>Drinks</v>
      </c>
    </row>
    <row r="589">
      <c r="A589" s="30">
        <v>7.29000875701E12</v>
      </c>
      <c r="B589" s="20" t="s">
        <v>4114</v>
      </c>
      <c r="C589" s="21">
        <v>0.053</v>
      </c>
      <c r="D589" s="21">
        <v>0.196</v>
      </c>
      <c r="E589" s="21">
        <v>0.053</v>
      </c>
      <c r="F589" s="22">
        <v>6.0</v>
      </c>
      <c r="G589" s="23"/>
      <c r="H589" s="24" t="s">
        <v>4107</v>
      </c>
      <c r="I589" s="21" t="s">
        <v>4108</v>
      </c>
      <c r="J589" s="20" t="s">
        <v>4108</v>
      </c>
      <c r="K589" s="24" t="s">
        <v>4115</v>
      </c>
      <c r="L589" s="20" t="s">
        <v>4116</v>
      </c>
      <c r="M589" s="25" t="s">
        <v>4117</v>
      </c>
      <c r="N589" s="26" t="s">
        <v>37</v>
      </c>
      <c r="O589" s="24" t="s">
        <v>1351</v>
      </c>
      <c r="P589" s="24" t="s">
        <v>1359</v>
      </c>
      <c r="Q589" s="27"/>
      <c r="R589" s="27"/>
      <c r="S589" s="28" t="s">
        <v>4118</v>
      </c>
      <c r="T589" s="8" t="s">
        <v>4119</v>
      </c>
      <c r="U589" s="29" t="e">
        <v>#N/A</v>
      </c>
      <c r="V589" s="21" t="s">
        <v>573</v>
      </c>
    </row>
    <row r="590">
      <c r="A590" s="30">
        <v>7.290012404146E12</v>
      </c>
      <c r="B590" s="20" t="s">
        <v>4120</v>
      </c>
      <c r="C590" s="21">
        <v>0.09</v>
      </c>
      <c r="D590" s="21">
        <v>0.331</v>
      </c>
      <c r="E590" s="21">
        <v>0.09</v>
      </c>
      <c r="F590" s="22">
        <v>3.0</v>
      </c>
      <c r="G590" s="23"/>
      <c r="H590" s="24" t="s">
        <v>4107</v>
      </c>
      <c r="I590" s="21" t="s">
        <v>4108</v>
      </c>
      <c r="J590" s="20" t="s">
        <v>4108</v>
      </c>
      <c r="K590" s="24" t="s">
        <v>4121</v>
      </c>
      <c r="L590" s="20" t="s">
        <v>4122</v>
      </c>
      <c r="M590" s="25" t="s">
        <v>4123</v>
      </c>
      <c r="N590" s="26" t="s">
        <v>28</v>
      </c>
      <c r="O590" s="24" t="s">
        <v>1351</v>
      </c>
      <c r="P590" s="24" t="s">
        <v>1352</v>
      </c>
      <c r="Q590" s="27"/>
      <c r="R590" s="27"/>
      <c r="S590" s="28" t="s">
        <v>4124</v>
      </c>
      <c r="T590" s="8" t="s">
        <v>4125</v>
      </c>
      <c r="U590" s="29" t="s">
        <v>4108</v>
      </c>
      <c r="V590" s="24" t="str">
        <f>iferror(VLOOKUP(A590,'tagging table'!A:G,7,0),"")</f>
        <v>Drinks</v>
      </c>
    </row>
    <row r="591">
      <c r="A591" s="30">
        <v>7.290012404177E12</v>
      </c>
      <c r="B591" s="20" t="s">
        <v>4126</v>
      </c>
      <c r="C591" s="21">
        <v>0.065</v>
      </c>
      <c r="D591" s="21">
        <v>0.221</v>
      </c>
      <c r="E591" s="21">
        <v>0.065</v>
      </c>
      <c r="F591" s="22">
        <v>5.0</v>
      </c>
      <c r="G591" s="23"/>
      <c r="H591" s="24" t="s">
        <v>4107</v>
      </c>
      <c r="I591" s="21" t="s">
        <v>4108</v>
      </c>
      <c r="J591" s="20" t="s">
        <v>4108</v>
      </c>
      <c r="K591" s="24" t="s">
        <v>4127</v>
      </c>
      <c r="L591" s="20" t="s">
        <v>4128</v>
      </c>
      <c r="M591" s="25" t="s">
        <v>4129</v>
      </c>
      <c r="N591" s="26" t="s">
        <v>28</v>
      </c>
      <c r="O591" s="24" t="s">
        <v>1351</v>
      </c>
      <c r="P591" s="24" t="s">
        <v>1359</v>
      </c>
      <c r="Q591" s="27"/>
      <c r="R591" s="27"/>
      <c r="S591" s="28" t="s">
        <v>4130</v>
      </c>
      <c r="T591" s="8" t="s">
        <v>4131</v>
      </c>
      <c r="U591" s="29" t="s">
        <v>4108</v>
      </c>
      <c r="V591" s="24" t="str">
        <f>iferror(VLOOKUP(A591,'tagging table'!A:G,7,0),"")</f>
        <v>Drinks</v>
      </c>
    </row>
    <row r="592">
      <c r="A592" s="30">
        <v>7.290013702425E12</v>
      </c>
      <c r="B592" s="20" t="s">
        <v>4132</v>
      </c>
      <c r="C592" s="21">
        <v>0.065</v>
      </c>
      <c r="D592" s="21">
        <v>0.221</v>
      </c>
      <c r="E592" s="21">
        <v>0.065</v>
      </c>
      <c r="F592" s="22">
        <v>5.0</v>
      </c>
      <c r="G592" s="23"/>
      <c r="H592" s="24" t="s">
        <v>4107</v>
      </c>
      <c r="I592" s="21" t="s">
        <v>4108</v>
      </c>
      <c r="J592" s="20" t="s">
        <v>4108</v>
      </c>
      <c r="K592" s="24" t="s">
        <v>4133</v>
      </c>
      <c r="L592" s="20" t="s">
        <v>4134</v>
      </c>
      <c r="M592" s="25" t="s">
        <v>4135</v>
      </c>
      <c r="N592" s="26" t="s">
        <v>28</v>
      </c>
      <c r="O592" s="24" t="s">
        <v>4136</v>
      </c>
      <c r="P592" s="24" t="s">
        <v>4137</v>
      </c>
      <c r="Q592" s="27"/>
      <c r="R592" s="27"/>
      <c r="S592" s="28" t="s">
        <v>4138</v>
      </c>
      <c r="T592" s="8" t="s">
        <v>4139</v>
      </c>
      <c r="U592" s="29" t="s">
        <v>4108</v>
      </c>
      <c r="V592" s="24" t="str">
        <f>iferror(VLOOKUP(A592,'tagging table'!A:G,7,0),"")</f>
        <v>Drinks</v>
      </c>
    </row>
    <row r="593">
      <c r="A593" s="30">
        <v>7.290012404184E12</v>
      </c>
      <c r="B593" s="20" t="s">
        <v>4140</v>
      </c>
      <c r="C593" s="21">
        <v>0.065</v>
      </c>
      <c r="D593" s="21">
        <v>0.221</v>
      </c>
      <c r="E593" s="21">
        <v>0.065</v>
      </c>
      <c r="F593" s="22">
        <v>5.0</v>
      </c>
      <c r="G593" s="23"/>
      <c r="H593" s="24" t="s">
        <v>4107</v>
      </c>
      <c r="I593" s="21" t="s">
        <v>4108</v>
      </c>
      <c r="J593" s="20" t="s">
        <v>4108</v>
      </c>
      <c r="K593" s="24" t="s">
        <v>4141</v>
      </c>
      <c r="L593" s="20" t="s">
        <v>4142</v>
      </c>
      <c r="M593" s="25" t="s">
        <v>4143</v>
      </c>
      <c r="N593" s="26" t="s">
        <v>28</v>
      </c>
      <c r="O593" s="24" t="s">
        <v>1351</v>
      </c>
      <c r="P593" s="24" t="s">
        <v>1359</v>
      </c>
      <c r="Q593" s="27"/>
      <c r="R593" s="27"/>
      <c r="S593" s="28" t="s">
        <v>4144</v>
      </c>
      <c r="T593" s="8" t="s">
        <v>4145</v>
      </c>
      <c r="U593" s="29" t="s">
        <v>4108</v>
      </c>
      <c r="V593" s="24" t="str">
        <f>iferror(VLOOKUP(A593,'tagging table'!A:G,7,0),"")</f>
        <v>Drinks</v>
      </c>
    </row>
    <row r="594">
      <c r="A594" s="30">
        <v>7.290013702463E12</v>
      </c>
      <c r="B594" s="20" t="s">
        <v>4146</v>
      </c>
      <c r="C594" s="21">
        <v>0.09</v>
      </c>
      <c r="D594" s="21">
        <v>0.331</v>
      </c>
      <c r="E594" s="21">
        <v>0.09</v>
      </c>
      <c r="F594" s="22">
        <v>3.0</v>
      </c>
      <c r="G594" s="23"/>
      <c r="H594" s="24" t="s">
        <v>4107</v>
      </c>
      <c r="I594" s="21" t="s">
        <v>4108</v>
      </c>
      <c r="J594" s="20" t="s">
        <v>4108</v>
      </c>
      <c r="K594" s="24" t="s">
        <v>4147</v>
      </c>
      <c r="L594" s="20" t="s">
        <v>4148</v>
      </c>
      <c r="M594" s="25" t="s">
        <v>4149</v>
      </c>
      <c r="N594" s="26" t="s">
        <v>28</v>
      </c>
      <c r="O594" s="24" t="s">
        <v>1351</v>
      </c>
      <c r="P594" s="24" t="s">
        <v>1352</v>
      </c>
      <c r="Q594" s="27"/>
      <c r="R594" s="27"/>
      <c r="S594" s="28" t="s">
        <v>4150</v>
      </c>
      <c r="T594" s="8" t="s">
        <v>4151</v>
      </c>
      <c r="U594" s="29" t="s">
        <v>4108</v>
      </c>
      <c r="V594" s="24" t="str">
        <f>iferror(VLOOKUP(A594,'tagging table'!A:G,7,0),"")</f>
        <v>Drinks</v>
      </c>
    </row>
    <row r="595">
      <c r="A595" s="30">
        <v>7.290017023502E12</v>
      </c>
      <c r="B595" s="20" t="s">
        <v>4152</v>
      </c>
      <c r="C595" s="21">
        <v>0.065</v>
      </c>
      <c r="D595" s="21">
        <v>0.221</v>
      </c>
      <c r="E595" s="21">
        <v>0.065</v>
      </c>
      <c r="F595" s="22">
        <v>5.0</v>
      </c>
      <c r="G595" s="23"/>
      <c r="H595" s="24" t="s">
        <v>4107</v>
      </c>
      <c r="I595" s="21" t="s">
        <v>4108</v>
      </c>
      <c r="J595" s="20" t="s">
        <v>4108</v>
      </c>
      <c r="K595" s="24" t="s">
        <v>4153</v>
      </c>
      <c r="L595" s="20" t="s">
        <v>4154</v>
      </c>
      <c r="M595" s="25" t="s">
        <v>4155</v>
      </c>
      <c r="N595" s="26"/>
      <c r="O595" s="24" t="s">
        <v>1351</v>
      </c>
      <c r="P595" s="24" t="s">
        <v>1359</v>
      </c>
      <c r="Q595" s="27"/>
      <c r="R595" s="27"/>
      <c r="S595" s="28"/>
      <c r="T595" s="8"/>
      <c r="U595" s="29"/>
      <c r="V595" s="21" t="s">
        <v>573</v>
      </c>
    </row>
    <row r="596">
      <c r="A596" s="30">
        <v>7.290016006377E12</v>
      </c>
      <c r="B596" s="20" t="s">
        <v>4156</v>
      </c>
      <c r="C596" s="21">
        <v>0.065</v>
      </c>
      <c r="D596" s="21">
        <v>0.221</v>
      </c>
      <c r="E596" s="21">
        <v>0.065</v>
      </c>
      <c r="F596" s="22">
        <v>5.0</v>
      </c>
      <c r="G596" s="23"/>
      <c r="H596" s="24" t="s">
        <v>4107</v>
      </c>
      <c r="I596" s="21" t="s">
        <v>4108</v>
      </c>
      <c r="J596" s="20" t="s">
        <v>4108</v>
      </c>
      <c r="K596" s="24" t="s">
        <v>4157</v>
      </c>
      <c r="L596" s="20" t="s">
        <v>4158</v>
      </c>
      <c r="M596" s="25" t="s">
        <v>4159</v>
      </c>
      <c r="N596" s="26" t="s">
        <v>28</v>
      </c>
      <c r="O596" s="24" t="s">
        <v>1351</v>
      </c>
      <c r="P596" s="24" t="s">
        <v>1359</v>
      </c>
      <c r="Q596" s="27"/>
      <c r="R596" s="27"/>
      <c r="S596" s="28" t="s">
        <v>4160</v>
      </c>
      <c r="T596" s="8" t="s">
        <v>4161</v>
      </c>
      <c r="U596" s="29" t="s">
        <v>4108</v>
      </c>
      <c r="V596" s="24" t="str">
        <f>iferror(VLOOKUP(A596,'tagging table'!A:G,7,0),"")</f>
        <v>Drinks</v>
      </c>
    </row>
    <row r="597">
      <c r="A597" s="30">
        <v>7.290014791572E12</v>
      </c>
      <c r="B597" s="20" t="s">
        <v>4162</v>
      </c>
      <c r="C597" s="21">
        <v>0.065</v>
      </c>
      <c r="D597" s="21">
        <v>0.221</v>
      </c>
      <c r="E597" s="21">
        <v>0.065</v>
      </c>
      <c r="F597" s="22">
        <v>5.0</v>
      </c>
      <c r="G597" s="23"/>
      <c r="H597" s="24" t="s">
        <v>4107</v>
      </c>
      <c r="I597" s="21" t="s">
        <v>4108</v>
      </c>
      <c r="J597" s="20" t="s">
        <v>4108</v>
      </c>
      <c r="K597" s="24" t="s">
        <v>4163</v>
      </c>
      <c r="L597" s="20" t="s">
        <v>4164</v>
      </c>
      <c r="M597" s="25" t="s">
        <v>4165</v>
      </c>
      <c r="N597" s="26" t="s">
        <v>28</v>
      </c>
      <c r="O597" s="24" t="s">
        <v>1351</v>
      </c>
      <c r="P597" s="24" t="s">
        <v>1359</v>
      </c>
      <c r="Q597" s="27"/>
      <c r="R597" s="27"/>
      <c r="S597" s="28" t="s">
        <v>4166</v>
      </c>
      <c r="T597" s="8" t="s">
        <v>4167</v>
      </c>
      <c r="U597" s="29" t="s">
        <v>4108</v>
      </c>
      <c r="V597" s="24" t="str">
        <f>iferror(VLOOKUP(A597,'tagging table'!A:G,7,0),"")</f>
        <v>Drinks</v>
      </c>
    </row>
    <row r="598">
      <c r="A598" s="30">
        <v>7.29001370247E12</v>
      </c>
      <c r="B598" s="20" t="s">
        <v>4168</v>
      </c>
      <c r="C598" s="21">
        <v>0.09</v>
      </c>
      <c r="D598" s="21">
        <v>0.331</v>
      </c>
      <c r="E598" s="21">
        <v>0.09</v>
      </c>
      <c r="F598" s="22">
        <v>3.0</v>
      </c>
      <c r="G598" s="23"/>
      <c r="H598" s="24" t="s">
        <v>4107</v>
      </c>
      <c r="I598" s="21" t="s">
        <v>4108</v>
      </c>
      <c r="J598" s="20" t="s">
        <v>4108</v>
      </c>
      <c r="K598" s="24" t="s">
        <v>4169</v>
      </c>
      <c r="L598" s="20" t="s">
        <v>4170</v>
      </c>
      <c r="M598" s="25" t="s">
        <v>4171</v>
      </c>
      <c r="N598" s="26" t="s">
        <v>28</v>
      </c>
      <c r="O598" s="24" t="s">
        <v>1351</v>
      </c>
      <c r="P598" s="24" t="s">
        <v>1352</v>
      </c>
      <c r="Q598" s="27"/>
      <c r="R598" s="27"/>
      <c r="S598" s="28" t="s">
        <v>4172</v>
      </c>
      <c r="T598" s="8" t="s">
        <v>4173</v>
      </c>
      <c r="U598" s="29" t="s">
        <v>4108</v>
      </c>
      <c r="V598" s="24" t="str">
        <f>iferror(VLOOKUP(A598,'tagging table'!A:G,7,0),"")</f>
        <v>Drinks</v>
      </c>
    </row>
    <row r="599">
      <c r="A599" s="30">
        <v>7.29001788888E12</v>
      </c>
      <c r="B599" s="20" t="s">
        <v>4174</v>
      </c>
      <c r="C599" s="21">
        <v>0.058</v>
      </c>
      <c r="D599" s="21">
        <v>0.145</v>
      </c>
      <c r="E599" s="21">
        <v>0.058</v>
      </c>
      <c r="F599" s="22">
        <v>5.0</v>
      </c>
      <c r="G599" s="23"/>
      <c r="H599" s="24" t="s">
        <v>4107</v>
      </c>
      <c r="I599" s="21" t="s">
        <v>4108</v>
      </c>
      <c r="J599" s="20" t="s">
        <v>4108</v>
      </c>
      <c r="K599" s="24" t="s">
        <v>4175</v>
      </c>
      <c r="L599" s="20" t="s">
        <v>4176</v>
      </c>
      <c r="M599" s="25" t="s">
        <v>4177</v>
      </c>
      <c r="N599" s="26" t="s">
        <v>28</v>
      </c>
      <c r="O599" s="24" t="s">
        <v>1351</v>
      </c>
      <c r="P599" s="24" t="s">
        <v>1359</v>
      </c>
      <c r="Q599" s="27"/>
      <c r="R599" s="27"/>
      <c r="S599" s="28" t="s">
        <v>4178</v>
      </c>
      <c r="T599" s="8" t="s">
        <v>4179</v>
      </c>
      <c r="U599" s="29" t="s">
        <v>4108</v>
      </c>
      <c r="V599" s="24" t="str">
        <f>iferror(VLOOKUP(A599,'tagging table'!A:G,7,0),"")</f>
        <v>Drinks</v>
      </c>
    </row>
    <row r="600">
      <c r="A600" s="30">
        <v>7.290012404238E12</v>
      </c>
      <c r="B600" s="20" t="s">
        <v>4180</v>
      </c>
      <c r="C600" s="21">
        <v>0.09</v>
      </c>
      <c r="D600" s="21">
        <v>0.329</v>
      </c>
      <c r="E600" s="21">
        <v>0.09</v>
      </c>
      <c r="F600" s="22">
        <v>3.0</v>
      </c>
      <c r="G600" s="23"/>
      <c r="H600" s="24" t="s">
        <v>4107</v>
      </c>
      <c r="I600" s="21" t="s">
        <v>4108</v>
      </c>
      <c r="J600" s="20" t="s">
        <v>4108</v>
      </c>
      <c r="K600" s="24" t="s">
        <v>4181</v>
      </c>
      <c r="L600" s="20" t="s">
        <v>4182</v>
      </c>
      <c r="M600" s="25" t="s">
        <v>4183</v>
      </c>
      <c r="N600" s="26" t="s">
        <v>28</v>
      </c>
      <c r="O600" s="24" t="s">
        <v>4184</v>
      </c>
      <c r="P600" s="24" t="s">
        <v>4185</v>
      </c>
      <c r="Q600" s="27"/>
      <c r="R600" s="27"/>
      <c r="S600" s="28" t="s">
        <v>4186</v>
      </c>
      <c r="T600" s="8" t="s">
        <v>4187</v>
      </c>
      <c r="U600" s="29" t="s">
        <v>4108</v>
      </c>
      <c r="V600" s="24" t="str">
        <f>iferror(VLOOKUP(A600,'tagging table'!A:G,7,0),"")</f>
        <v>Drinks</v>
      </c>
    </row>
    <row r="601">
      <c r="A601" s="30">
        <v>7.290011051389E12</v>
      </c>
      <c r="B601" s="20" t="s">
        <v>4188</v>
      </c>
      <c r="C601" s="21">
        <v>0.09</v>
      </c>
      <c r="D601" s="21">
        <v>0.33</v>
      </c>
      <c r="E601" s="21">
        <v>0.09</v>
      </c>
      <c r="F601" s="22">
        <v>3.0</v>
      </c>
      <c r="G601" s="23"/>
      <c r="H601" s="24" t="s">
        <v>4107</v>
      </c>
      <c r="I601" s="21" t="s">
        <v>4108</v>
      </c>
      <c r="J601" s="20" t="s">
        <v>4108</v>
      </c>
      <c r="K601" s="24" t="s">
        <v>4189</v>
      </c>
      <c r="L601" s="20" t="s">
        <v>4190</v>
      </c>
      <c r="M601" s="25" t="s">
        <v>4191</v>
      </c>
      <c r="N601" s="26" t="s">
        <v>28</v>
      </c>
      <c r="O601" s="24" t="s">
        <v>4136</v>
      </c>
      <c r="P601" s="24" t="s">
        <v>4192</v>
      </c>
      <c r="Q601" s="27"/>
      <c r="R601" s="27"/>
      <c r="S601" s="28" t="s">
        <v>4193</v>
      </c>
      <c r="T601" s="8" t="s">
        <v>4194</v>
      </c>
      <c r="U601" s="29" t="s">
        <v>4108</v>
      </c>
      <c r="V601" s="24" t="str">
        <f>iferror(VLOOKUP(A601,'tagging table'!A:G,7,0),"")</f>
        <v>Drinks</v>
      </c>
    </row>
    <row r="602">
      <c r="A602" s="30">
        <v>7.290011051396E12</v>
      </c>
      <c r="B602" s="20" t="s">
        <v>4195</v>
      </c>
      <c r="C602" s="21">
        <v>0.09</v>
      </c>
      <c r="D602" s="21">
        <v>0.33</v>
      </c>
      <c r="E602" s="21">
        <v>0.09</v>
      </c>
      <c r="F602" s="22">
        <v>3.0</v>
      </c>
      <c r="G602" s="23"/>
      <c r="H602" s="24" t="s">
        <v>4107</v>
      </c>
      <c r="I602" s="21" t="s">
        <v>4108</v>
      </c>
      <c r="J602" s="20" t="s">
        <v>4108</v>
      </c>
      <c r="K602" s="24" t="s">
        <v>4196</v>
      </c>
      <c r="L602" s="20" t="s">
        <v>4197</v>
      </c>
      <c r="M602" s="25" t="s">
        <v>4198</v>
      </c>
      <c r="N602" s="26" t="s">
        <v>28</v>
      </c>
      <c r="O602" s="24" t="s">
        <v>4136</v>
      </c>
      <c r="P602" s="24" t="s">
        <v>4192</v>
      </c>
      <c r="Q602" s="27"/>
      <c r="R602" s="27"/>
      <c r="S602" s="28" t="s">
        <v>4199</v>
      </c>
      <c r="T602" s="8" t="s">
        <v>4200</v>
      </c>
      <c r="U602" s="29" t="s">
        <v>4108</v>
      </c>
      <c r="V602" s="24" t="str">
        <f>iferror(VLOOKUP(A602,'tagging table'!A:G,7,0),"")</f>
        <v>Drinks</v>
      </c>
    </row>
    <row r="603">
      <c r="A603" s="30">
        <v>7.290013702418E12</v>
      </c>
      <c r="B603" s="20" t="s">
        <v>4201</v>
      </c>
      <c r="C603" s="21">
        <v>0.065</v>
      </c>
      <c r="D603" s="21">
        <v>0.221</v>
      </c>
      <c r="E603" s="21">
        <v>0.065</v>
      </c>
      <c r="F603" s="22">
        <v>5.0</v>
      </c>
      <c r="G603" s="23"/>
      <c r="H603" s="24" t="s">
        <v>4107</v>
      </c>
      <c r="I603" s="21" t="s">
        <v>4108</v>
      </c>
      <c r="J603" s="20" t="s">
        <v>4108</v>
      </c>
      <c r="K603" s="24" t="s">
        <v>4202</v>
      </c>
      <c r="L603" s="20" t="s">
        <v>4203</v>
      </c>
      <c r="M603" s="25" t="s">
        <v>4204</v>
      </c>
      <c r="N603" s="26" t="s">
        <v>28</v>
      </c>
      <c r="O603" s="24" t="s">
        <v>4136</v>
      </c>
      <c r="P603" s="24" t="s">
        <v>4137</v>
      </c>
      <c r="Q603" s="27"/>
      <c r="R603" s="27"/>
      <c r="S603" s="28" t="s">
        <v>4205</v>
      </c>
      <c r="T603" s="8" t="s">
        <v>4206</v>
      </c>
      <c r="U603" s="29" t="s">
        <v>4108</v>
      </c>
      <c r="V603" s="24" t="str">
        <f>iferror(VLOOKUP(A603,'tagging table'!A:G,7,0),"")</f>
        <v>Drinks</v>
      </c>
    </row>
    <row r="604">
      <c r="A604" s="30">
        <v>7.290018471111E12</v>
      </c>
      <c r="B604" s="20" t="s">
        <v>4207</v>
      </c>
      <c r="C604" s="21">
        <v>0.065</v>
      </c>
      <c r="D604" s="21">
        <v>0.221</v>
      </c>
      <c r="E604" s="21">
        <v>0.065</v>
      </c>
      <c r="F604" s="22">
        <v>5.0</v>
      </c>
      <c r="G604" s="23"/>
      <c r="H604" s="24" t="s">
        <v>4107</v>
      </c>
      <c r="I604" s="21" t="s">
        <v>4108</v>
      </c>
      <c r="J604" s="20" t="s">
        <v>4108</v>
      </c>
      <c r="K604" s="24" t="s">
        <v>4208</v>
      </c>
      <c r="L604" s="20" t="s">
        <v>4209</v>
      </c>
      <c r="M604" s="25" t="s">
        <v>4210</v>
      </c>
      <c r="N604" s="26" t="s">
        <v>28</v>
      </c>
      <c r="O604" s="24" t="s">
        <v>1351</v>
      </c>
      <c r="P604" s="24" t="s">
        <v>1359</v>
      </c>
      <c r="Q604" s="27"/>
      <c r="R604" s="27"/>
      <c r="S604" s="28" t="s">
        <v>4211</v>
      </c>
      <c r="T604" s="8" t="s">
        <v>4212</v>
      </c>
      <c r="U604" s="29" t="s">
        <v>4108</v>
      </c>
      <c r="V604" s="24" t="str">
        <f>iferror(VLOOKUP(A604,'tagging table'!A:G,7,0),"")</f>
        <v>Drinks</v>
      </c>
    </row>
    <row r="605">
      <c r="A605" s="30">
        <v>7.290017888842E12</v>
      </c>
      <c r="B605" s="20" t="s">
        <v>4213</v>
      </c>
      <c r="C605" s="21">
        <v>0.058</v>
      </c>
      <c r="D605" s="21">
        <v>0.145</v>
      </c>
      <c r="E605" s="21">
        <v>0.058</v>
      </c>
      <c r="F605" s="22">
        <v>5.0</v>
      </c>
      <c r="G605" s="23"/>
      <c r="H605" s="24" t="s">
        <v>4107</v>
      </c>
      <c r="I605" s="21" t="s">
        <v>4108</v>
      </c>
      <c r="J605" s="20" t="s">
        <v>4108</v>
      </c>
      <c r="K605" s="24" t="s">
        <v>4214</v>
      </c>
      <c r="L605" s="20" t="s">
        <v>4215</v>
      </c>
      <c r="M605" s="25" t="s">
        <v>4216</v>
      </c>
      <c r="N605" s="26" t="s">
        <v>28</v>
      </c>
      <c r="O605" s="24" t="s">
        <v>1351</v>
      </c>
      <c r="P605" s="24" t="s">
        <v>1359</v>
      </c>
      <c r="Q605" s="27"/>
      <c r="R605" s="27"/>
      <c r="S605" s="28" t="s">
        <v>4217</v>
      </c>
      <c r="T605" s="8" t="s">
        <v>4218</v>
      </c>
      <c r="U605" s="29" t="s">
        <v>4108</v>
      </c>
      <c r="V605" s="24" t="str">
        <f>iferror(VLOOKUP(A605,'tagging table'!A:G,7,0),"")</f>
        <v>Drinks</v>
      </c>
    </row>
    <row r="606">
      <c r="A606" s="30">
        <v>7.290017888729E12</v>
      </c>
      <c r="B606" s="20" t="s">
        <v>4219</v>
      </c>
      <c r="C606" s="21">
        <v>0.085</v>
      </c>
      <c r="D606" s="21">
        <v>0.297</v>
      </c>
      <c r="E606" s="21">
        <v>0.085</v>
      </c>
      <c r="F606" s="22">
        <v>4.0</v>
      </c>
      <c r="G606" s="23"/>
      <c r="H606" s="24" t="s">
        <v>4107</v>
      </c>
      <c r="I606" s="21" t="s">
        <v>4108</v>
      </c>
      <c r="J606" s="20" t="s">
        <v>4108</v>
      </c>
      <c r="K606" s="24" t="s">
        <v>4220</v>
      </c>
      <c r="L606" s="20" t="s">
        <v>4221</v>
      </c>
      <c r="M606" s="25" t="s">
        <v>4222</v>
      </c>
      <c r="N606" s="26" t="s">
        <v>28</v>
      </c>
      <c r="O606" s="24" t="s">
        <v>2158</v>
      </c>
      <c r="P606" s="24" t="s">
        <v>2159</v>
      </c>
      <c r="Q606" s="27"/>
      <c r="R606" s="27"/>
      <c r="S606" s="31" t="s">
        <v>4223</v>
      </c>
      <c r="T606" s="8" t="s">
        <v>4224</v>
      </c>
      <c r="U606" s="29" t="s">
        <v>4108</v>
      </c>
      <c r="V606" s="24" t="str">
        <f>iferror(VLOOKUP(A606,'tagging table'!A:G,7,0),"")</f>
        <v>Drinks</v>
      </c>
    </row>
    <row r="607">
      <c r="A607" s="30">
        <v>7.290011051358E12</v>
      </c>
      <c r="B607" s="20" t="s">
        <v>4225</v>
      </c>
      <c r="C607" s="21">
        <v>0.053</v>
      </c>
      <c r="D607" s="21">
        <v>0.196</v>
      </c>
      <c r="E607" s="21">
        <v>0.053</v>
      </c>
      <c r="F607" s="22">
        <v>6.0</v>
      </c>
      <c r="G607" s="23"/>
      <c r="H607" s="24" t="s">
        <v>4107</v>
      </c>
      <c r="I607" s="21" t="s">
        <v>4108</v>
      </c>
      <c r="J607" s="20" t="s">
        <v>4108</v>
      </c>
      <c r="K607" s="24" t="s">
        <v>4226</v>
      </c>
      <c r="L607" s="20" t="s">
        <v>4227</v>
      </c>
      <c r="M607" s="25" t="s">
        <v>4228</v>
      </c>
      <c r="N607" s="26" t="s">
        <v>28</v>
      </c>
      <c r="O607" s="24" t="s">
        <v>2158</v>
      </c>
      <c r="P607" s="24" t="s">
        <v>2166</v>
      </c>
      <c r="Q607" s="27"/>
      <c r="R607" s="27"/>
      <c r="S607" s="28" t="s">
        <v>4229</v>
      </c>
      <c r="T607" s="8" t="s">
        <v>4230</v>
      </c>
      <c r="U607" s="29" t="s">
        <v>4108</v>
      </c>
      <c r="V607" s="24" t="str">
        <f>iferror(VLOOKUP(A607,'tagging table'!A:G,7,0),"")</f>
        <v>Drinks</v>
      </c>
    </row>
    <row r="608">
      <c r="A608" s="30">
        <v>7.290014791626E12</v>
      </c>
      <c r="B608" s="20" t="s">
        <v>4231</v>
      </c>
      <c r="C608" s="21">
        <v>0.053</v>
      </c>
      <c r="D608" s="21">
        <v>0.196</v>
      </c>
      <c r="E608" s="21">
        <v>0.053</v>
      </c>
      <c r="F608" s="22">
        <v>6.0</v>
      </c>
      <c r="G608" s="23"/>
      <c r="H608" s="24" t="s">
        <v>4107</v>
      </c>
      <c r="I608" s="21" t="s">
        <v>4108</v>
      </c>
      <c r="J608" s="20" t="s">
        <v>4108</v>
      </c>
      <c r="K608" s="24" t="s">
        <v>4232</v>
      </c>
      <c r="L608" s="20" t="s">
        <v>4233</v>
      </c>
      <c r="M608" s="25" t="s">
        <v>4234</v>
      </c>
      <c r="N608" s="26" t="s">
        <v>28</v>
      </c>
      <c r="O608" s="24" t="s">
        <v>2158</v>
      </c>
      <c r="P608" s="24" t="s">
        <v>2166</v>
      </c>
      <c r="Q608" s="27"/>
      <c r="R608" s="27"/>
      <c r="S608" s="31" t="s">
        <v>4235</v>
      </c>
      <c r="T608" s="8" t="s">
        <v>4236</v>
      </c>
      <c r="U608" s="29" t="s">
        <v>4108</v>
      </c>
      <c r="V608" s="24" t="str">
        <f>iferror(VLOOKUP(A608,'tagging table'!A:G,7,0),"")</f>
        <v>Drinks</v>
      </c>
    </row>
    <row r="609">
      <c r="A609" s="30">
        <v>7.290000285849E12</v>
      </c>
      <c r="B609" s="20" t="s">
        <v>4237</v>
      </c>
      <c r="C609" s="21">
        <v>0.09</v>
      </c>
      <c r="D609" s="21">
        <v>0.329</v>
      </c>
      <c r="E609" s="21">
        <v>0.09</v>
      </c>
      <c r="F609" s="22">
        <v>3.0</v>
      </c>
      <c r="G609" s="23"/>
      <c r="H609" s="24" t="s">
        <v>4107</v>
      </c>
      <c r="I609" s="21" t="s">
        <v>4108</v>
      </c>
      <c r="J609" s="20" t="s">
        <v>4108</v>
      </c>
      <c r="K609" s="24" t="s">
        <v>4238</v>
      </c>
      <c r="L609" s="20" t="s">
        <v>4239</v>
      </c>
      <c r="M609" s="25" t="s">
        <v>4240</v>
      </c>
      <c r="N609" s="26" t="s">
        <v>37</v>
      </c>
      <c r="O609" s="24" t="s">
        <v>2158</v>
      </c>
      <c r="P609" s="24" t="s">
        <v>2159</v>
      </c>
      <c r="Q609" s="27"/>
      <c r="R609" s="27"/>
      <c r="S609" s="31" t="s">
        <v>4241</v>
      </c>
      <c r="T609" s="33" t="s">
        <v>4242</v>
      </c>
      <c r="U609" s="29" t="e">
        <v>#N/A</v>
      </c>
      <c r="V609" s="21" t="s">
        <v>573</v>
      </c>
    </row>
    <row r="610">
      <c r="A610" s="30">
        <v>7.290008757034E12</v>
      </c>
      <c r="B610" s="20" t="s">
        <v>4243</v>
      </c>
      <c r="C610" s="21">
        <v>0.053</v>
      </c>
      <c r="D610" s="21">
        <v>0.196</v>
      </c>
      <c r="E610" s="21">
        <v>0.053</v>
      </c>
      <c r="F610" s="22">
        <v>6.0</v>
      </c>
      <c r="G610" s="23"/>
      <c r="H610" s="24" t="s">
        <v>4107</v>
      </c>
      <c r="I610" s="21" t="s">
        <v>4108</v>
      </c>
      <c r="J610" s="20" t="s">
        <v>4108</v>
      </c>
      <c r="K610" s="24" t="s">
        <v>4244</v>
      </c>
      <c r="L610" s="20" t="s">
        <v>4245</v>
      </c>
      <c r="M610" s="25" t="s">
        <v>4246</v>
      </c>
      <c r="N610" s="26" t="s">
        <v>37</v>
      </c>
      <c r="O610" s="24" t="s">
        <v>2158</v>
      </c>
      <c r="P610" s="24" t="s">
        <v>2166</v>
      </c>
      <c r="Q610" s="27"/>
      <c r="R610" s="27"/>
      <c r="S610" s="31" t="s">
        <v>4247</v>
      </c>
      <c r="T610" s="8" t="s">
        <v>4248</v>
      </c>
      <c r="U610" s="29" t="e">
        <v>#N/A</v>
      </c>
      <c r="V610" s="21" t="s">
        <v>573</v>
      </c>
    </row>
    <row r="611">
      <c r="A611" s="30">
        <v>7.290017888859E12</v>
      </c>
      <c r="B611" s="20" t="s">
        <v>4249</v>
      </c>
      <c r="C611" s="21">
        <v>0.058</v>
      </c>
      <c r="D611" s="21">
        <v>0.145</v>
      </c>
      <c r="E611" s="21">
        <v>0.058</v>
      </c>
      <c r="F611" s="22">
        <v>5.0</v>
      </c>
      <c r="G611" s="23"/>
      <c r="H611" s="24" t="s">
        <v>4107</v>
      </c>
      <c r="I611" s="21" t="s">
        <v>4108</v>
      </c>
      <c r="J611" s="20" t="s">
        <v>4108</v>
      </c>
      <c r="K611" s="24" t="s">
        <v>4250</v>
      </c>
      <c r="L611" s="20" t="s">
        <v>4251</v>
      </c>
      <c r="M611" s="25" t="s">
        <v>4252</v>
      </c>
      <c r="N611" s="26" t="s">
        <v>28</v>
      </c>
      <c r="O611" s="24" t="s">
        <v>1351</v>
      </c>
      <c r="P611" s="24" t="s">
        <v>1359</v>
      </c>
      <c r="Q611" s="27"/>
      <c r="R611" s="27"/>
      <c r="S611" s="28" t="s">
        <v>4253</v>
      </c>
      <c r="T611" s="8" t="s">
        <v>4254</v>
      </c>
      <c r="U611" s="29" t="s">
        <v>4108</v>
      </c>
      <c r="V611" s="24" t="str">
        <f>iferror(VLOOKUP(A611,'tagging table'!A:G,7,0),"")</f>
        <v>Drinks</v>
      </c>
    </row>
    <row r="612">
      <c r="A612" s="30">
        <v>433714.0</v>
      </c>
      <c r="B612" s="20" t="s">
        <v>4255</v>
      </c>
      <c r="C612" s="21">
        <v>0.08</v>
      </c>
      <c r="D612" s="21">
        <v>0.33</v>
      </c>
      <c r="E612" s="21">
        <v>0.08</v>
      </c>
      <c r="F612" s="22">
        <v>4.0</v>
      </c>
      <c r="G612" s="23"/>
      <c r="H612" s="24" t="s">
        <v>4256</v>
      </c>
      <c r="I612" s="21" t="s">
        <v>4257</v>
      </c>
      <c r="J612" s="20" t="s">
        <v>1347</v>
      </c>
      <c r="K612" s="24" t="s">
        <v>4258</v>
      </c>
      <c r="L612" s="20" t="s">
        <v>4259</v>
      </c>
      <c r="M612" s="25" t="s">
        <v>4260</v>
      </c>
      <c r="N612" s="26" t="s">
        <v>28</v>
      </c>
      <c r="O612" s="24" t="s">
        <v>4261</v>
      </c>
      <c r="P612" s="24" t="s">
        <v>4262</v>
      </c>
      <c r="Q612" s="27"/>
      <c r="R612" s="27"/>
      <c r="S612" s="28" t="s">
        <v>4263</v>
      </c>
      <c r="T612" s="8" t="s">
        <v>4264</v>
      </c>
      <c r="U612" s="29" t="s">
        <v>4265</v>
      </c>
      <c r="V612" s="24" t="str">
        <f>iferror(VLOOKUP(A612,'tagging table'!A:G,7,0),"")</f>
        <v>Drinks</v>
      </c>
    </row>
    <row r="613">
      <c r="A613" s="30">
        <v>7.290010237579E12</v>
      </c>
      <c r="B613" s="20" t="s">
        <v>4266</v>
      </c>
      <c r="C613" s="21">
        <v>0.065</v>
      </c>
      <c r="D613" s="21">
        <v>0.24</v>
      </c>
      <c r="E613" s="21">
        <v>0.065</v>
      </c>
      <c r="F613" s="22">
        <v>5.0</v>
      </c>
      <c r="G613" s="23"/>
      <c r="H613" s="24" t="s">
        <v>4256</v>
      </c>
      <c r="I613" s="21" t="s">
        <v>4257</v>
      </c>
      <c r="J613" s="20" t="s">
        <v>1347</v>
      </c>
      <c r="K613" s="24" t="s">
        <v>4267</v>
      </c>
      <c r="L613" s="20" t="s">
        <v>4268</v>
      </c>
      <c r="M613" s="25" t="s">
        <v>4269</v>
      </c>
      <c r="N613" s="26" t="s">
        <v>28</v>
      </c>
      <c r="O613" s="24" t="s">
        <v>4261</v>
      </c>
      <c r="P613" s="24" t="s">
        <v>4270</v>
      </c>
      <c r="Q613" s="27"/>
      <c r="R613" s="27"/>
      <c r="S613" s="28" t="s">
        <v>4271</v>
      </c>
      <c r="T613" s="8" t="s">
        <v>4272</v>
      </c>
      <c r="U613" s="29" t="s">
        <v>4265</v>
      </c>
      <c r="V613" s="24" t="str">
        <f>iferror(VLOOKUP(A613,'tagging table'!A:G,7,0),"")</f>
        <v>Drinks</v>
      </c>
    </row>
    <row r="614">
      <c r="A614" s="30">
        <v>2824640.0</v>
      </c>
      <c r="B614" s="20" t="s">
        <v>4273</v>
      </c>
      <c r="C614" s="21">
        <v>0.095</v>
      </c>
      <c r="D614" s="21">
        <v>0.07</v>
      </c>
      <c r="E614" s="21">
        <v>0.09</v>
      </c>
      <c r="F614" s="22">
        <v>3.0</v>
      </c>
      <c r="G614" s="23"/>
      <c r="H614" s="24" t="s">
        <v>4274</v>
      </c>
      <c r="I614" s="21" t="s">
        <v>4275</v>
      </c>
      <c r="J614" s="24"/>
      <c r="K614" s="24" t="s">
        <v>4276</v>
      </c>
      <c r="L614" s="20" t="s">
        <v>4277</v>
      </c>
      <c r="M614" s="25" t="s">
        <v>4278</v>
      </c>
      <c r="N614" s="26" t="s">
        <v>28</v>
      </c>
      <c r="O614" s="24" t="s">
        <v>4279</v>
      </c>
      <c r="P614" s="24" t="s">
        <v>4280</v>
      </c>
      <c r="Q614" s="27"/>
      <c r="R614" s="27"/>
      <c r="S614" s="28" t="s">
        <v>4281</v>
      </c>
      <c r="T614" s="8" t="s">
        <v>4282</v>
      </c>
      <c r="U614" s="29" t="s">
        <v>4283</v>
      </c>
      <c r="V614" s="24" t="str">
        <f>iferror(VLOOKUP(A614,'tagging table'!A:G,7,0),"")</f>
        <v>Dairy</v>
      </c>
    </row>
    <row r="615">
      <c r="A615" s="30">
        <v>5.000159376655E12</v>
      </c>
      <c r="B615" s="20" t="s">
        <v>4284</v>
      </c>
      <c r="C615" s="21">
        <v>0.07</v>
      </c>
      <c r="D615" s="21">
        <v>0.122</v>
      </c>
      <c r="E615" s="21">
        <v>0.005</v>
      </c>
      <c r="F615" s="22">
        <v>60.0</v>
      </c>
      <c r="G615" s="23"/>
      <c r="H615" s="24" t="s">
        <v>4285</v>
      </c>
      <c r="I615" s="21" t="s">
        <v>4286</v>
      </c>
      <c r="J615" s="24"/>
      <c r="K615" s="24" t="s">
        <v>4287</v>
      </c>
      <c r="L615" s="20" t="s">
        <v>4288</v>
      </c>
      <c r="M615" s="25" t="s">
        <v>4289</v>
      </c>
      <c r="N615" s="26" t="s">
        <v>28</v>
      </c>
      <c r="O615" s="24" t="s">
        <v>2625</v>
      </c>
      <c r="P615" s="24" t="s">
        <v>2626</v>
      </c>
      <c r="Q615" s="27"/>
      <c r="R615" s="27"/>
      <c r="S615" s="28" t="s">
        <v>4290</v>
      </c>
      <c r="T615" s="8" t="s">
        <v>4291</v>
      </c>
      <c r="U615" s="29" t="s">
        <v>4286</v>
      </c>
      <c r="V615" s="24" t="str">
        <f>iferror(VLOOKUP(A615,'tagging table'!A:G,7,0),"")</f>
        <v>Cashiers</v>
      </c>
    </row>
    <row r="616">
      <c r="A616" s="30">
        <v>5.000159376792E12</v>
      </c>
      <c r="B616" s="20" t="s">
        <v>4292</v>
      </c>
      <c r="C616" s="21">
        <v>0.07</v>
      </c>
      <c r="D616" s="21">
        <v>0.122</v>
      </c>
      <c r="E616" s="21">
        <v>0.005</v>
      </c>
      <c r="F616" s="22">
        <v>60.0</v>
      </c>
      <c r="G616" s="23"/>
      <c r="H616" s="24" t="s">
        <v>4285</v>
      </c>
      <c r="I616" s="21" t="s">
        <v>4286</v>
      </c>
      <c r="J616" s="24"/>
      <c r="K616" s="24" t="s">
        <v>4293</v>
      </c>
      <c r="L616" s="20" t="s">
        <v>4294</v>
      </c>
      <c r="M616" s="25" t="s">
        <v>4295</v>
      </c>
      <c r="N616" s="26" t="s">
        <v>28</v>
      </c>
      <c r="O616" s="24" t="s">
        <v>2625</v>
      </c>
      <c r="P616" s="24" t="s">
        <v>2626</v>
      </c>
      <c r="Q616" s="27"/>
      <c r="R616" s="27"/>
      <c r="S616" s="28" t="s">
        <v>4296</v>
      </c>
      <c r="T616" s="8" t="s">
        <v>4297</v>
      </c>
      <c r="U616" s="29" t="s">
        <v>4286</v>
      </c>
      <c r="V616" s="24" t="str">
        <f>iferror(VLOOKUP(A616,'tagging table'!A:G,7,0),"")</f>
        <v>Cashiers</v>
      </c>
    </row>
    <row r="617">
      <c r="A617" s="30">
        <v>7.290107933643E12</v>
      </c>
      <c r="B617" s="20" t="s">
        <v>4298</v>
      </c>
      <c r="C617" s="21">
        <v>0.06</v>
      </c>
      <c r="D617" s="21">
        <v>0.16</v>
      </c>
      <c r="E617" s="21">
        <v>0.04</v>
      </c>
      <c r="F617" s="22">
        <v>8.0</v>
      </c>
      <c r="G617" s="23"/>
      <c r="H617" s="32" t="s">
        <v>695</v>
      </c>
      <c r="I617" s="21" t="s">
        <v>4299</v>
      </c>
      <c r="J617" s="24"/>
      <c r="K617" s="24" t="s">
        <v>4300</v>
      </c>
      <c r="L617" s="20" t="s">
        <v>4301</v>
      </c>
      <c r="M617" s="25" t="s">
        <v>4302</v>
      </c>
      <c r="N617" s="26" t="s">
        <v>28</v>
      </c>
      <c r="O617" s="24" t="s">
        <v>700</v>
      </c>
      <c r="P617" s="24" t="s">
        <v>1078</v>
      </c>
      <c r="Q617" s="27"/>
      <c r="R617" s="27"/>
      <c r="S617" s="28" t="s">
        <v>4303</v>
      </c>
      <c r="T617" s="8" t="s">
        <v>4304</v>
      </c>
      <c r="U617" s="29" t="s">
        <v>4299</v>
      </c>
      <c r="V617" s="24" t="str">
        <f>iferror(VLOOKUP(A617,'tagging table'!A:G,7,0),"")</f>
        <v>Dairy</v>
      </c>
    </row>
    <row r="618">
      <c r="A618" s="30">
        <v>7.29010793365E12</v>
      </c>
      <c r="B618" s="20" t="s">
        <v>4305</v>
      </c>
      <c r="C618" s="21">
        <v>0.055</v>
      </c>
      <c r="D618" s="21">
        <v>0.16</v>
      </c>
      <c r="E618" s="21">
        <v>0.04</v>
      </c>
      <c r="F618" s="22">
        <v>8.0</v>
      </c>
      <c r="G618" s="23"/>
      <c r="H618" s="32" t="s">
        <v>695</v>
      </c>
      <c r="I618" s="21" t="s">
        <v>4299</v>
      </c>
      <c r="J618" s="24"/>
      <c r="K618" s="24" t="s">
        <v>4306</v>
      </c>
      <c r="L618" s="20" t="s">
        <v>4307</v>
      </c>
      <c r="M618" s="25" t="s">
        <v>4308</v>
      </c>
      <c r="N618" s="26" t="s">
        <v>28</v>
      </c>
      <c r="O618" s="24" t="s">
        <v>700</v>
      </c>
      <c r="P618" s="24" t="s">
        <v>1078</v>
      </c>
      <c r="Q618" s="27"/>
      <c r="R618" s="27"/>
      <c r="S618" s="28" t="s">
        <v>4309</v>
      </c>
      <c r="T618" s="8" t="s">
        <v>4310</v>
      </c>
      <c r="U618" s="29" t="s">
        <v>4299</v>
      </c>
      <c r="V618" s="24" t="str">
        <f>iferror(VLOOKUP(A618,'tagging table'!A:G,7,0),"")</f>
        <v>Dairy</v>
      </c>
    </row>
    <row r="619">
      <c r="A619" s="30">
        <v>5.410316983693E12</v>
      </c>
      <c r="B619" s="20" t="s">
        <v>4311</v>
      </c>
      <c r="C619" s="21">
        <v>0.058</v>
      </c>
      <c r="D619" s="21">
        <v>0.212</v>
      </c>
      <c r="E619" s="21">
        <v>0.058</v>
      </c>
      <c r="F619" s="22">
        <v>5.0</v>
      </c>
      <c r="G619" s="23"/>
      <c r="H619" s="24" t="s">
        <v>4312</v>
      </c>
      <c r="I619" s="21" t="s">
        <v>4313</v>
      </c>
      <c r="J619" s="20" t="s">
        <v>508</v>
      </c>
      <c r="K619" s="24" t="s">
        <v>4314</v>
      </c>
      <c r="L619" s="20" t="s">
        <v>4315</v>
      </c>
      <c r="M619" s="25" t="s">
        <v>4316</v>
      </c>
      <c r="N619" s="26" t="s">
        <v>28</v>
      </c>
      <c r="O619" s="24" t="s">
        <v>512</v>
      </c>
      <c r="P619" s="24" t="s">
        <v>513</v>
      </c>
      <c r="Q619" s="27"/>
      <c r="R619" s="27"/>
      <c r="S619" s="31" t="s">
        <v>4317</v>
      </c>
      <c r="T619" s="8" t="s">
        <v>4318</v>
      </c>
      <c r="U619" s="29" t="s">
        <v>4319</v>
      </c>
      <c r="V619" s="24" t="str">
        <f>iferror(VLOOKUP(A619,'tagging table'!A:G,7,0),"")</f>
        <v>Drinks</v>
      </c>
    </row>
    <row r="620">
      <c r="A620" s="30">
        <v>5.000159461122E12</v>
      </c>
      <c r="B620" s="20" t="s">
        <v>4320</v>
      </c>
      <c r="C620" s="21">
        <v>0.118</v>
      </c>
      <c r="D620" s="21">
        <v>0.03</v>
      </c>
      <c r="E620" s="21">
        <v>0.02</v>
      </c>
      <c r="F620" s="22">
        <v>15.0</v>
      </c>
      <c r="G620" s="23"/>
      <c r="H620" s="24" t="s">
        <v>4321</v>
      </c>
      <c r="I620" s="21" t="s">
        <v>4322</v>
      </c>
      <c r="J620" s="24"/>
      <c r="K620" s="24" t="s">
        <v>4323</v>
      </c>
      <c r="L620" s="20" t="s">
        <v>4324</v>
      </c>
      <c r="M620" s="25" t="s">
        <v>4325</v>
      </c>
      <c r="N620" s="26" t="s">
        <v>28</v>
      </c>
      <c r="O620" s="24" t="s">
        <v>501</v>
      </c>
      <c r="P620" s="24" t="s">
        <v>502</v>
      </c>
      <c r="Q620" s="27"/>
      <c r="R620" s="27"/>
      <c r="S620" s="31" t="s">
        <v>4326</v>
      </c>
      <c r="T620" s="33" t="s">
        <v>4327</v>
      </c>
      <c r="U620" s="29" t="s">
        <v>4322</v>
      </c>
      <c r="V620" s="24" t="str">
        <f>iferror(VLOOKUP(A620,'tagging table'!A:G,7,0),"")</f>
        <v>Cashiers</v>
      </c>
    </row>
    <row r="621">
      <c r="A621" s="30">
        <v>5.000159473866E12</v>
      </c>
      <c r="B621" s="20" t="s">
        <v>4328</v>
      </c>
      <c r="C621" s="21">
        <v>0.2</v>
      </c>
      <c r="D621" s="21">
        <v>0.18</v>
      </c>
      <c r="E621" s="21">
        <v>0.02</v>
      </c>
      <c r="F621" s="22">
        <v>15.0</v>
      </c>
      <c r="G621" s="23"/>
      <c r="H621" s="24" t="s">
        <v>4329</v>
      </c>
      <c r="I621" s="21" t="s">
        <v>4330</v>
      </c>
      <c r="J621" s="24"/>
      <c r="K621" s="24" t="s">
        <v>4331</v>
      </c>
      <c r="L621" s="20" t="s">
        <v>4332</v>
      </c>
      <c r="M621" s="25" t="s">
        <v>4333</v>
      </c>
      <c r="N621" s="26" t="s">
        <v>28</v>
      </c>
      <c r="O621" s="24" t="s">
        <v>501</v>
      </c>
      <c r="P621" s="24" t="s">
        <v>3013</v>
      </c>
      <c r="Q621" s="27"/>
      <c r="R621" s="27"/>
      <c r="S621" s="31" t="s">
        <v>4334</v>
      </c>
      <c r="T621" s="33" t="s">
        <v>4335</v>
      </c>
      <c r="U621" s="29" t="s">
        <v>4336</v>
      </c>
      <c r="V621" s="24" t="str">
        <f>iferror(VLOOKUP(A621,'tagging table'!A:G,7,0),"")</f>
        <v>Sweets</v>
      </c>
    </row>
    <row r="622">
      <c r="A622" s="30">
        <v>7.7975099933E10</v>
      </c>
      <c r="B622" s="20" t="s">
        <v>4337</v>
      </c>
      <c r="C622" s="21">
        <v>0.09999999</v>
      </c>
      <c r="D622" s="21">
        <v>0.155</v>
      </c>
      <c r="E622" s="21">
        <v>0.02</v>
      </c>
      <c r="F622" s="22">
        <v>15.0</v>
      </c>
      <c r="G622" s="23"/>
      <c r="H622" s="24" t="s">
        <v>4338</v>
      </c>
      <c r="I622" s="21" t="s">
        <v>4339</v>
      </c>
      <c r="J622" s="24"/>
      <c r="K622" s="24" t="s">
        <v>4340</v>
      </c>
      <c r="L622" s="20" t="s">
        <v>4341</v>
      </c>
      <c r="M622" s="25" t="s">
        <v>4342</v>
      </c>
      <c r="N622" s="26" t="s">
        <v>28</v>
      </c>
      <c r="O622" s="24" t="s">
        <v>1413</v>
      </c>
      <c r="P622" s="24" t="s">
        <v>3563</v>
      </c>
      <c r="Q622" s="27"/>
      <c r="R622" s="27"/>
      <c r="S622" s="28" t="s">
        <v>4343</v>
      </c>
      <c r="T622" s="8" t="s">
        <v>4342</v>
      </c>
      <c r="U622" s="29" t="s">
        <v>4339</v>
      </c>
      <c r="V622" s="21" t="s">
        <v>32</v>
      </c>
    </row>
    <row r="623">
      <c r="A623" s="30">
        <v>7.7975094006E10</v>
      </c>
      <c r="B623" s="20" t="s">
        <v>4344</v>
      </c>
      <c r="C623" s="21">
        <v>0.15</v>
      </c>
      <c r="D623" s="21">
        <v>0.26</v>
      </c>
      <c r="E623" s="21">
        <v>0.035</v>
      </c>
      <c r="F623" s="22">
        <v>9.0</v>
      </c>
      <c r="G623" s="23"/>
      <c r="H623" s="24" t="s">
        <v>4338</v>
      </c>
      <c r="I623" s="21" t="s">
        <v>4339</v>
      </c>
      <c r="J623" s="24"/>
      <c r="K623" s="24" t="s">
        <v>4345</v>
      </c>
      <c r="L623" s="20" t="s">
        <v>4346</v>
      </c>
      <c r="M623" s="25" t="s">
        <v>4347</v>
      </c>
      <c r="N623" s="26" t="s">
        <v>28</v>
      </c>
      <c r="O623" s="24" t="s">
        <v>1413</v>
      </c>
      <c r="P623" s="24" t="s">
        <v>3570</v>
      </c>
      <c r="Q623" s="27"/>
      <c r="R623" s="27"/>
      <c r="S623" s="28" t="s">
        <v>4348</v>
      </c>
      <c r="T623" s="8" t="s">
        <v>4347</v>
      </c>
      <c r="U623" s="29" t="s">
        <v>4339</v>
      </c>
      <c r="V623" s="21" t="s">
        <v>32</v>
      </c>
    </row>
    <row r="624">
      <c r="A624" s="30">
        <v>7.7975094631E10</v>
      </c>
      <c r="B624" s="20" t="s">
        <v>4349</v>
      </c>
      <c r="C624" s="21">
        <v>0.14</v>
      </c>
      <c r="D624" s="21">
        <v>0.255</v>
      </c>
      <c r="E624" s="21">
        <v>0.07</v>
      </c>
      <c r="F624" s="22">
        <v>4.0</v>
      </c>
      <c r="G624" s="23"/>
      <c r="H624" s="24" t="s">
        <v>4338</v>
      </c>
      <c r="I624" s="21" t="s">
        <v>4339</v>
      </c>
      <c r="J624" s="24"/>
      <c r="K624" s="24" t="s">
        <v>4350</v>
      </c>
      <c r="L624" s="20" t="s">
        <v>4351</v>
      </c>
      <c r="M624" s="25" t="s">
        <v>4352</v>
      </c>
      <c r="N624" s="26" t="s">
        <v>28</v>
      </c>
      <c r="O624" s="24" t="s">
        <v>1413</v>
      </c>
      <c r="P624" s="24" t="s">
        <v>1414</v>
      </c>
      <c r="Q624" s="27"/>
      <c r="R624" s="27"/>
      <c r="S624" s="28" t="s">
        <v>4353</v>
      </c>
      <c r="T624" s="8" t="s">
        <v>4352</v>
      </c>
      <c r="U624" s="29" t="s">
        <v>4339</v>
      </c>
      <c r="V624" s="21" t="s">
        <v>32</v>
      </c>
    </row>
    <row r="625">
      <c r="A625" s="30">
        <v>7.7975099919E10</v>
      </c>
      <c r="B625" s="20" t="s">
        <v>4354</v>
      </c>
      <c r="C625" s="21">
        <v>0.09999999</v>
      </c>
      <c r="D625" s="21">
        <v>0.155</v>
      </c>
      <c r="E625" s="21">
        <v>0.02</v>
      </c>
      <c r="F625" s="22">
        <v>15.0</v>
      </c>
      <c r="G625" s="23"/>
      <c r="H625" s="24" t="s">
        <v>4338</v>
      </c>
      <c r="I625" s="21" t="s">
        <v>4339</v>
      </c>
      <c r="J625" s="24"/>
      <c r="K625" s="24" t="s">
        <v>4355</v>
      </c>
      <c r="L625" s="20" t="s">
        <v>4356</v>
      </c>
      <c r="M625" s="25" t="s">
        <v>4357</v>
      </c>
      <c r="N625" s="26" t="s">
        <v>28</v>
      </c>
      <c r="O625" s="24" t="s">
        <v>1413</v>
      </c>
      <c r="P625" s="24" t="s">
        <v>3563</v>
      </c>
      <c r="Q625" s="27"/>
      <c r="R625" s="27"/>
      <c r="S625" s="28" t="s">
        <v>4358</v>
      </c>
      <c r="T625" s="8" t="s">
        <v>4357</v>
      </c>
      <c r="U625" s="29" t="s">
        <v>4339</v>
      </c>
      <c r="V625" s="21" t="s">
        <v>32</v>
      </c>
    </row>
    <row r="626">
      <c r="A626" s="30">
        <v>7.7975094624E10</v>
      </c>
      <c r="B626" s="20" t="s">
        <v>4359</v>
      </c>
      <c r="C626" s="21">
        <v>0.14</v>
      </c>
      <c r="D626" s="21">
        <v>0.255</v>
      </c>
      <c r="E626" s="21">
        <v>0.07</v>
      </c>
      <c r="F626" s="22">
        <v>4.0</v>
      </c>
      <c r="G626" s="23"/>
      <c r="H626" s="24" t="s">
        <v>4338</v>
      </c>
      <c r="I626" s="21" t="s">
        <v>4339</v>
      </c>
      <c r="J626" s="24"/>
      <c r="K626" s="24" t="s">
        <v>4360</v>
      </c>
      <c r="L626" s="20" t="s">
        <v>4361</v>
      </c>
      <c r="M626" s="25" t="s">
        <v>4362</v>
      </c>
      <c r="N626" s="26" t="s">
        <v>28</v>
      </c>
      <c r="O626" s="24" t="s">
        <v>1413</v>
      </c>
      <c r="P626" s="24" t="s">
        <v>3570</v>
      </c>
      <c r="Q626" s="27"/>
      <c r="R626" s="27"/>
      <c r="S626" s="28" t="s">
        <v>4363</v>
      </c>
      <c r="T626" s="8" t="s">
        <v>4362</v>
      </c>
      <c r="U626" s="29" t="s">
        <v>4339</v>
      </c>
      <c r="V626" s="21" t="s">
        <v>32</v>
      </c>
    </row>
    <row r="627">
      <c r="A627" s="30">
        <v>7.7975088227E10</v>
      </c>
      <c r="B627" s="20" t="s">
        <v>4364</v>
      </c>
      <c r="C627" s="21">
        <v>0.14</v>
      </c>
      <c r="D627" s="21">
        <v>0.26</v>
      </c>
      <c r="E627" s="21">
        <v>0.035</v>
      </c>
      <c r="F627" s="22">
        <v>9.0</v>
      </c>
      <c r="G627" s="23"/>
      <c r="H627" s="24" t="s">
        <v>4338</v>
      </c>
      <c r="I627" s="21" t="s">
        <v>4339</v>
      </c>
      <c r="J627" s="24"/>
      <c r="K627" s="24" t="s">
        <v>4365</v>
      </c>
      <c r="L627" s="20" t="s">
        <v>4366</v>
      </c>
      <c r="M627" s="25" t="s">
        <v>4367</v>
      </c>
      <c r="N627" s="26" t="s">
        <v>28</v>
      </c>
      <c r="O627" s="24" t="s">
        <v>1413</v>
      </c>
      <c r="P627" s="24" t="s">
        <v>3570</v>
      </c>
      <c r="Q627" s="27"/>
      <c r="R627" s="27"/>
      <c r="S627" s="28" t="s">
        <v>4368</v>
      </c>
      <c r="T627" s="8" t="s">
        <v>4367</v>
      </c>
      <c r="U627" s="29" t="s">
        <v>4339</v>
      </c>
      <c r="V627" s="21" t="s">
        <v>32</v>
      </c>
    </row>
    <row r="628">
      <c r="A628" s="30">
        <v>7.7975091975E10</v>
      </c>
      <c r="B628" s="20" t="s">
        <v>4369</v>
      </c>
      <c r="C628" s="21">
        <v>0.14</v>
      </c>
      <c r="D628" s="21">
        <v>0.26</v>
      </c>
      <c r="E628" s="21">
        <v>0.035</v>
      </c>
      <c r="F628" s="22">
        <v>9.0</v>
      </c>
      <c r="G628" s="23"/>
      <c r="H628" s="24" t="s">
        <v>4338</v>
      </c>
      <c r="I628" s="21" t="s">
        <v>4339</v>
      </c>
      <c r="J628" s="24"/>
      <c r="K628" s="24" t="s">
        <v>4370</v>
      </c>
      <c r="L628" s="20" t="s">
        <v>4371</v>
      </c>
      <c r="M628" s="25" t="s">
        <v>4372</v>
      </c>
      <c r="N628" s="26" t="s">
        <v>28</v>
      </c>
      <c r="O628" s="24" t="s">
        <v>1413</v>
      </c>
      <c r="P628" s="24" t="s">
        <v>1414</v>
      </c>
      <c r="Q628" s="27"/>
      <c r="R628" s="27"/>
      <c r="S628" s="28" t="s">
        <v>4373</v>
      </c>
      <c r="T628" s="33" t="s">
        <v>4372</v>
      </c>
      <c r="U628" s="29" t="s">
        <v>4339</v>
      </c>
      <c r="V628" s="21" t="s">
        <v>32</v>
      </c>
    </row>
    <row r="629">
      <c r="A629" s="30">
        <v>7.7975094761E10</v>
      </c>
      <c r="B629" s="20" t="s">
        <v>4374</v>
      </c>
      <c r="C629" s="21">
        <v>0.15</v>
      </c>
      <c r="D629" s="21">
        <v>0.255</v>
      </c>
      <c r="E629" s="21">
        <v>0.07</v>
      </c>
      <c r="F629" s="22">
        <v>4.0</v>
      </c>
      <c r="G629" s="23"/>
      <c r="H629" s="24" t="s">
        <v>4338</v>
      </c>
      <c r="I629" s="21" t="s">
        <v>4339</v>
      </c>
      <c r="J629" s="24"/>
      <c r="K629" s="24" t="s">
        <v>4375</v>
      </c>
      <c r="L629" s="20" t="s">
        <v>4376</v>
      </c>
      <c r="M629" s="25" t="s">
        <v>4377</v>
      </c>
      <c r="N629" s="26" t="s">
        <v>37</v>
      </c>
      <c r="O629" s="24" t="s">
        <v>1413</v>
      </c>
      <c r="P629" s="24" t="s">
        <v>3570</v>
      </c>
      <c r="Q629" s="27"/>
      <c r="R629" s="27"/>
      <c r="S629" s="28" t="s">
        <v>4378</v>
      </c>
      <c r="T629" s="8" t="s">
        <v>4379</v>
      </c>
      <c r="U629" s="29" t="e">
        <v>#N/A</v>
      </c>
      <c r="V629" s="21" t="s">
        <v>32</v>
      </c>
    </row>
    <row r="630">
      <c r="A630" s="30">
        <v>7.5001629E12</v>
      </c>
      <c r="B630" s="20" t="s">
        <v>4380</v>
      </c>
      <c r="C630" s="21">
        <v>0.06</v>
      </c>
      <c r="D630" s="21">
        <v>0.235</v>
      </c>
      <c r="E630" s="21">
        <v>0.12</v>
      </c>
      <c r="F630" s="22">
        <v>3.0</v>
      </c>
      <c r="G630" s="23"/>
      <c r="H630" s="24" t="s">
        <v>4381</v>
      </c>
      <c r="I630" s="21" t="s">
        <v>4382</v>
      </c>
      <c r="J630" s="20" t="s">
        <v>914</v>
      </c>
      <c r="K630" s="24" t="s">
        <v>4383</v>
      </c>
      <c r="L630" s="20" t="s">
        <v>4384</v>
      </c>
      <c r="M630" s="25" t="s">
        <v>4385</v>
      </c>
      <c r="N630" s="26" t="s">
        <v>28</v>
      </c>
      <c r="O630" s="24" t="s">
        <v>365</v>
      </c>
      <c r="P630" s="24" t="s">
        <v>536</v>
      </c>
      <c r="Q630" s="27"/>
      <c r="R630" s="27"/>
      <c r="S630" s="28" t="s">
        <v>4386</v>
      </c>
      <c r="T630" s="8" t="s">
        <v>4387</v>
      </c>
      <c r="U630" s="29" t="s">
        <v>4382</v>
      </c>
      <c r="V630" s="24" t="str">
        <f>iferror(VLOOKUP(A630,'tagging table'!A:G,7,0),"")</f>
        <v>Drinks</v>
      </c>
    </row>
    <row r="631">
      <c r="A631" s="30">
        <v>7.290011018474E12</v>
      </c>
      <c r="B631" s="20" t="s">
        <v>4388</v>
      </c>
      <c r="C631" s="21">
        <v>0.055</v>
      </c>
      <c r="D631" s="21">
        <v>0.239</v>
      </c>
      <c r="E631" s="21">
        <v>0.055</v>
      </c>
      <c r="F631" s="22">
        <v>5.0</v>
      </c>
      <c r="G631" s="23"/>
      <c r="H631" s="24" t="s">
        <v>4389</v>
      </c>
      <c r="I631" s="21" t="s">
        <v>4390</v>
      </c>
      <c r="J631" s="20" t="s">
        <v>508</v>
      </c>
      <c r="K631" s="24" t="s">
        <v>4391</v>
      </c>
      <c r="L631" s="20" t="s">
        <v>4392</v>
      </c>
      <c r="M631" s="25" t="s">
        <v>4393</v>
      </c>
      <c r="N631" s="26" t="s">
        <v>28</v>
      </c>
      <c r="O631" s="24" t="s">
        <v>512</v>
      </c>
      <c r="P631" s="24" t="s">
        <v>513</v>
      </c>
      <c r="Q631" s="27"/>
      <c r="R631" s="27"/>
      <c r="S631" s="31" t="s">
        <v>4394</v>
      </c>
      <c r="T631" s="8" t="s">
        <v>4395</v>
      </c>
      <c r="U631" s="29" t="s">
        <v>4396</v>
      </c>
      <c r="V631" s="24" t="str">
        <f>iferror(VLOOKUP(A631,'tagging table'!A:G,7,0),"")</f>
        <v>Drinks</v>
      </c>
    </row>
    <row r="632">
      <c r="A632" s="30">
        <v>7.290105961525E12</v>
      </c>
      <c r="B632" s="20" t="s">
        <v>4397</v>
      </c>
      <c r="C632" s="21">
        <v>0.09</v>
      </c>
      <c r="D632" s="21">
        <v>0.18</v>
      </c>
      <c r="E632" s="21">
        <v>0.01</v>
      </c>
      <c r="F632" s="22">
        <v>30.0</v>
      </c>
      <c r="G632" s="23"/>
      <c r="H632" s="24" t="s">
        <v>4398</v>
      </c>
      <c r="I632" s="21" t="s">
        <v>4399</v>
      </c>
      <c r="J632" s="21" t="s">
        <v>622</v>
      </c>
      <c r="K632" s="24" t="s">
        <v>4400</v>
      </c>
      <c r="L632" s="20" t="s">
        <v>4401</v>
      </c>
      <c r="M632" s="25" t="s">
        <v>4402</v>
      </c>
      <c r="N632" s="26" t="s">
        <v>28</v>
      </c>
      <c r="O632" s="24" t="s">
        <v>1484</v>
      </c>
      <c r="P632" s="24" t="s">
        <v>1485</v>
      </c>
      <c r="Q632" s="27"/>
      <c r="R632" s="27"/>
      <c r="S632" s="28" t="s">
        <v>4403</v>
      </c>
      <c r="T632" s="8" t="s">
        <v>4404</v>
      </c>
      <c r="U632" s="29" t="s">
        <v>4399</v>
      </c>
      <c r="V632" s="24" t="str">
        <f>iferror(VLOOKUP(A632,'tagging table'!A:G,7,0),"")</f>
        <v>Sweets</v>
      </c>
    </row>
    <row r="633">
      <c r="A633" s="30">
        <v>7.290112344793E12</v>
      </c>
      <c r="B633" s="20" t="s">
        <v>4405</v>
      </c>
      <c r="C633" s="21">
        <v>0.09999999</v>
      </c>
      <c r="D633" s="21">
        <v>0.15</v>
      </c>
      <c r="E633" s="21">
        <v>0.05</v>
      </c>
      <c r="F633" s="22">
        <v>6.0</v>
      </c>
      <c r="G633" s="23"/>
      <c r="H633" s="24" t="s">
        <v>4398</v>
      </c>
      <c r="I633" s="21" t="s">
        <v>4399</v>
      </c>
      <c r="J633" s="21" t="s">
        <v>622</v>
      </c>
      <c r="K633" s="24" t="s">
        <v>4406</v>
      </c>
      <c r="L633" s="20" t="s">
        <v>4407</v>
      </c>
      <c r="M633" s="25" t="s">
        <v>4408</v>
      </c>
      <c r="N633" s="26" t="s">
        <v>28</v>
      </c>
      <c r="O633" s="24" t="s">
        <v>501</v>
      </c>
      <c r="P633" s="24" t="s">
        <v>729</v>
      </c>
      <c r="Q633" s="27"/>
      <c r="R633" s="27"/>
      <c r="S633" s="28" t="s">
        <v>4409</v>
      </c>
      <c r="T633" s="8" t="s">
        <v>4410</v>
      </c>
      <c r="U633" s="29" t="s">
        <v>4411</v>
      </c>
      <c r="V633" s="24" t="str">
        <f>iferror(VLOOKUP(A633,'tagging table'!A:G,7,0),"")</f>
        <v>Sweets</v>
      </c>
    </row>
    <row r="634">
      <c r="A634" s="30">
        <v>7.290112344007E12</v>
      </c>
      <c r="B634" s="20" t="s">
        <v>4412</v>
      </c>
      <c r="C634" s="21">
        <v>0.09999999</v>
      </c>
      <c r="D634" s="21">
        <v>0.15</v>
      </c>
      <c r="E634" s="21">
        <v>0.05</v>
      </c>
      <c r="F634" s="22">
        <v>6.0</v>
      </c>
      <c r="G634" s="23"/>
      <c r="H634" s="24" t="s">
        <v>4398</v>
      </c>
      <c r="I634" s="21" t="s">
        <v>4399</v>
      </c>
      <c r="J634" s="21" t="s">
        <v>622</v>
      </c>
      <c r="K634" s="24" t="s">
        <v>4413</v>
      </c>
      <c r="L634" s="20" t="s">
        <v>4414</v>
      </c>
      <c r="M634" s="25" t="s">
        <v>4415</v>
      </c>
      <c r="N634" s="26" t="s">
        <v>28</v>
      </c>
      <c r="O634" s="24" t="s">
        <v>501</v>
      </c>
      <c r="P634" s="24" t="s">
        <v>729</v>
      </c>
      <c r="Q634" s="27"/>
      <c r="R634" s="27"/>
      <c r="S634" s="28" t="s">
        <v>4416</v>
      </c>
      <c r="T634" s="8" t="s">
        <v>4417</v>
      </c>
      <c r="U634" s="29" t="s">
        <v>4411</v>
      </c>
      <c r="V634" s="24" t="str">
        <f>iferror(VLOOKUP(A634,'tagging table'!A:G,7,0),"")</f>
        <v>Sweets</v>
      </c>
    </row>
    <row r="635">
      <c r="A635" s="30">
        <v>7.290016006773E12</v>
      </c>
      <c r="B635" s="20" t="s">
        <v>4418</v>
      </c>
      <c r="C635" s="21">
        <v>0.065</v>
      </c>
      <c r="D635" s="21">
        <v>0.172</v>
      </c>
      <c r="E635" s="21">
        <v>0.065</v>
      </c>
      <c r="F635" s="22">
        <v>5.0</v>
      </c>
      <c r="G635" s="23"/>
      <c r="H635" s="24" t="s">
        <v>4419</v>
      </c>
      <c r="I635" s="21" t="s">
        <v>4420</v>
      </c>
      <c r="J635" s="20" t="s">
        <v>3365</v>
      </c>
      <c r="K635" s="24" t="s">
        <v>4421</v>
      </c>
      <c r="L635" s="20" t="s">
        <v>4422</v>
      </c>
      <c r="M635" s="25" t="s">
        <v>4423</v>
      </c>
      <c r="N635" s="26" t="s">
        <v>28</v>
      </c>
      <c r="O635" s="24" t="s">
        <v>1555</v>
      </c>
      <c r="P635" s="24" t="s">
        <v>1556</v>
      </c>
      <c r="Q635" s="27"/>
      <c r="R635" s="27"/>
      <c r="S635" s="28" t="s">
        <v>4424</v>
      </c>
      <c r="T635" s="8" t="s">
        <v>4425</v>
      </c>
      <c r="U635" s="29" t="s">
        <v>4420</v>
      </c>
      <c r="V635" s="24" t="str">
        <f>iferror(VLOOKUP(A635,'tagging table'!A:G,7,0),"")</f>
        <v>Drinks</v>
      </c>
    </row>
    <row r="636">
      <c r="A636" s="30">
        <v>7.290005564253E12</v>
      </c>
      <c r="B636" s="20" t="s">
        <v>4426</v>
      </c>
      <c r="C636" s="21">
        <v>0.09</v>
      </c>
      <c r="D636" s="21">
        <v>0.316</v>
      </c>
      <c r="E636" s="21">
        <v>0.09</v>
      </c>
      <c r="F636" s="22">
        <v>3.0</v>
      </c>
      <c r="G636" s="23"/>
      <c r="H636" s="24" t="s">
        <v>4419</v>
      </c>
      <c r="I636" s="21" t="s">
        <v>4420</v>
      </c>
      <c r="J636" s="20" t="s">
        <v>3365</v>
      </c>
      <c r="K636" s="24" t="s">
        <v>4427</v>
      </c>
      <c r="L636" s="20" t="s">
        <v>4428</v>
      </c>
      <c r="M636" s="25" t="s">
        <v>4429</v>
      </c>
      <c r="N636" s="26" t="s">
        <v>37</v>
      </c>
      <c r="O636" s="24" t="s">
        <v>718</v>
      </c>
      <c r="P636" s="24" t="s">
        <v>1526</v>
      </c>
      <c r="Q636" s="27"/>
      <c r="R636" s="27"/>
      <c r="S636" s="31" t="s">
        <v>4430</v>
      </c>
      <c r="T636" s="33" t="s">
        <v>4431</v>
      </c>
      <c r="U636" s="29" t="e">
        <v>#N/A</v>
      </c>
      <c r="V636" s="21" t="s">
        <v>573</v>
      </c>
    </row>
    <row r="637">
      <c r="A637" s="30">
        <v>7.290016006759E12</v>
      </c>
      <c r="B637" s="20" t="s">
        <v>4432</v>
      </c>
      <c r="C637" s="21">
        <v>0.065</v>
      </c>
      <c r="D637" s="21">
        <v>0.172</v>
      </c>
      <c r="E637" s="21">
        <v>0.065</v>
      </c>
      <c r="F637" s="22">
        <v>5.0</v>
      </c>
      <c r="G637" s="23"/>
      <c r="H637" s="24" t="s">
        <v>4419</v>
      </c>
      <c r="I637" s="21" t="s">
        <v>4420</v>
      </c>
      <c r="J637" s="20" t="s">
        <v>3365</v>
      </c>
      <c r="K637" s="24" t="s">
        <v>4433</v>
      </c>
      <c r="L637" s="20" t="s">
        <v>4434</v>
      </c>
      <c r="M637" s="25" t="s">
        <v>4435</v>
      </c>
      <c r="N637" s="26" t="s">
        <v>28</v>
      </c>
      <c r="O637" s="24" t="s">
        <v>1555</v>
      </c>
      <c r="P637" s="24" t="s">
        <v>1556</v>
      </c>
      <c r="Q637" s="27"/>
      <c r="R637" s="27"/>
      <c r="S637" s="28" t="s">
        <v>4436</v>
      </c>
      <c r="T637" s="8" t="s">
        <v>4437</v>
      </c>
      <c r="U637" s="29" t="s">
        <v>4420</v>
      </c>
      <c r="V637" s="24" t="str">
        <f>iferror(VLOOKUP(A637,'tagging table'!A:G,7,0),"")</f>
        <v>Drinks</v>
      </c>
    </row>
    <row r="638">
      <c r="A638" s="30">
        <v>7.290003608089E12</v>
      </c>
      <c r="B638" s="20" t="s">
        <v>4438</v>
      </c>
      <c r="C638" s="21">
        <v>0.09</v>
      </c>
      <c r="D638" s="21">
        <v>0.316</v>
      </c>
      <c r="E638" s="21">
        <v>0.09</v>
      </c>
      <c r="F638" s="22">
        <v>3.0</v>
      </c>
      <c r="G638" s="23"/>
      <c r="H638" s="24" t="s">
        <v>4419</v>
      </c>
      <c r="I638" s="21" t="s">
        <v>4420</v>
      </c>
      <c r="J638" s="20" t="s">
        <v>3365</v>
      </c>
      <c r="K638" s="24" t="s">
        <v>4439</v>
      </c>
      <c r="L638" s="20" t="s">
        <v>4440</v>
      </c>
      <c r="M638" s="25" t="s">
        <v>4441</v>
      </c>
      <c r="N638" s="26" t="s">
        <v>37</v>
      </c>
      <c r="O638" s="24" t="s">
        <v>718</v>
      </c>
      <c r="P638" s="24" t="s">
        <v>1526</v>
      </c>
      <c r="Q638" s="27"/>
      <c r="R638" s="27"/>
      <c r="S638" s="31" t="s">
        <v>4442</v>
      </c>
      <c r="T638" s="33" t="s">
        <v>4443</v>
      </c>
      <c r="U638" s="29" t="e">
        <v>#N/A</v>
      </c>
      <c r="V638" s="21" t="s">
        <v>573</v>
      </c>
    </row>
    <row r="639">
      <c r="A639" s="30">
        <v>7.29001358524E12</v>
      </c>
      <c r="B639" s="20" t="s">
        <v>4444</v>
      </c>
      <c r="C639" s="21">
        <v>0.095</v>
      </c>
      <c r="D639" s="21">
        <v>0.333</v>
      </c>
      <c r="E639" s="21">
        <v>0.095</v>
      </c>
      <c r="F639" s="22">
        <v>3.0</v>
      </c>
      <c r="G639" s="23"/>
      <c r="H639" s="24" t="s">
        <v>4445</v>
      </c>
      <c r="I639" s="21" t="s">
        <v>4446</v>
      </c>
      <c r="J639" s="20" t="s">
        <v>3365</v>
      </c>
      <c r="K639" s="24" t="s">
        <v>4447</v>
      </c>
      <c r="L639" s="20" t="s">
        <v>4448</v>
      </c>
      <c r="M639" s="25" t="s">
        <v>4449</v>
      </c>
      <c r="N639" s="26" t="s">
        <v>28</v>
      </c>
      <c r="O639" s="24" t="s">
        <v>4450</v>
      </c>
      <c r="P639" s="24" t="s">
        <v>4451</v>
      </c>
      <c r="Q639" s="27"/>
      <c r="R639" s="27"/>
      <c r="S639" s="28" t="s">
        <v>4452</v>
      </c>
      <c r="T639" s="8" t="s">
        <v>4453</v>
      </c>
      <c r="U639" s="29" t="s">
        <v>4446</v>
      </c>
      <c r="V639" s="24" t="str">
        <f>iferror(VLOOKUP(A639,'tagging table'!A:G,7,0),"")</f>
        <v>Drinks</v>
      </c>
    </row>
    <row r="640">
      <c r="A640" s="30">
        <v>7.290110110659E12</v>
      </c>
      <c r="B640" s="20" t="s">
        <v>4454</v>
      </c>
      <c r="C640" s="21">
        <v>0.057</v>
      </c>
      <c r="D640" s="21">
        <v>0.14</v>
      </c>
      <c r="E640" s="21">
        <v>0.057</v>
      </c>
      <c r="F640" s="22">
        <v>5.0</v>
      </c>
      <c r="G640" s="23"/>
      <c r="H640" s="24" t="s">
        <v>4445</v>
      </c>
      <c r="I640" s="21" t="s">
        <v>4446</v>
      </c>
      <c r="J640" s="20" t="s">
        <v>3365</v>
      </c>
      <c r="K640" s="24" t="s">
        <v>4455</v>
      </c>
      <c r="L640" s="20" t="s">
        <v>4456</v>
      </c>
      <c r="M640" s="25" t="s">
        <v>4457</v>
      </c>
      <c r="N640" s="26" t="s">
        <v>28</v>
      </c>
      <c r="O640" s="24" t="s">
        <v>4261</v>
      </c>
      <c r="P640" s="24" t="s">
        <v>4270</v>
      </c>
      <c r="Q640" s="27"/>
      <c r="R640" s="27"/>
      <c r="S640" s="28" t="s">
        <v>4458</v>
      </c>
      <c r="T640" s="8" t="s">
        <v>4459</v>
      </c>
      <c r="U640" s="29" t="s">
        <v>4446</v>
      </c>
      <c r="V640" s="24" t="str">
        <f>iferror(VLOOKUP(A640,'tagging table'!A:G,7,0),"")</f>
        <v>Drinks</v>
      </c>
    </row>
    <row r="641">
      <c r="A641" s="30">
        <v>7.290110110611E12</v>
      </c>
      <c r="B641" s="20" t="s">
        <v>4460</v>
      </c>
      <c r="C641" s="21">
        <v>0.095</v>
      </c>
      <c r="D641" s="21">
        <v>0.333</v>
      </c>
      <c r="E641" s="21">
        <v>0.095</v>
      </c>
      <c r="F641" s="22">
        <v>3.0</v>
      </c>
      <c r="G641" s="23"/>
      <c r="H641" s="24" t="s">
        <v>4445</v>
      </c>
      <c r="I641" s="21" t="s">
        <v>4446</v>
      </c>
      <c r="J641" s="20" t="s">
        <v>3365</v>
      </c>
      <c r="K641" s="24" t="s">
        <v>4461</v>
      </c>
      <c r="L641" s="20" t="s">
        <v>4462</v>
      </c>
      <c r="M641" s="25" t="s">
        <v>4463</v>
      </c>
      <c r="N641" s="26" t="s">
        <v>28</v>
      </c>
      <c r="O641" s="24" t="s">
        <v>4261</v>
      </c>
      <c r="P641" s="24" t="s">
        <v>4262</v>
      </c>
      <c r="Q641" s="27"/>
      <c r="R641" s="27"/>
      <c r="S641" s="31" t="s">
        <v>4464</v>
      </c>
      <c r="T641" s="8" t="s">
        <v>4465</v>
      </c>
      <c r="U641" s="29" t="s">
        <v>4446</v>
      </c>
      <c r="V641" s="24" t="str">
        <f>iferror(VLOOKUP(A641,'tagging table'!A:G,7,0),"")</f>
        <v>Drinks</v>
      </c>
    </row>
    <row r="642">
      <c r="A642" s="30">
        <v>7.290110110635E12</v>
      </c>
      <c r="B642" s="20" t="s">
        <v>4466</v>
      </c>
      <c r="C642" s="21">
        <v>0.065</v>
      </c>
      <c r="D642" s="21">
        <v>0.24</v>
      </c>
      <c r="E642" s="21">
        <v>0.065</v>
      </c>
      <c r="F642" s="22">
        <v>5.0</v>
      </c>
      <c r="G642" s="23"/>
      <c r="H642" s="24" t="s">
        <v>4445</v>
      </c>
      <c r="I642" s="21" t="s">
        <v>4446</v>
      </c>
      <c r="J642" s="20" t="s">
        <v>3365</v>
      </c>
      <c r="K642" s="24" t="s">
        <v>4467</v>
      </c>
      <c r="L642" s="20" t="s">
        <v>4468</v>
      </c>
      <c r="M642" s="25" t="s">
        <v>4469</v>
      </c>
      <c r="N642" s="26" t="s">
        <v>28</v>
      </c>
      <c r="O642" s="24" t="s">
        <v>4261</v>
      </c>
      <c r="P642" s="24" t="s">
        <v>4270</v>
      </c>
      <c r="Q642" s="27"/>
      <c r="R642" s="27"/>
      <c r="S642" s="28" t="s">
        <v>4470</v>
      </c>
      <c r="T642" s="8" t="s">
        <v>4471</v>
      </c>
      <c r="U642" s="29" t="s">
        <v>4446</v>
      </c>
      <c r="V642" s="24" t="str">
        <f>iferror(VLOOKUP(A642,'tagging table'!A:G,7,0),"")</f>
        <v>Drinks</v>
      </c>
    </row>
    <row r="643">
      <c r="A643" s="30">
        <v>7.290013585257E12</v>
      </c>
      <c r="B643" s="20" t="s">
        <v>4472</v>
      </c>
      <c r="C643" s="21">
        <v>0.065</v>
      </c>
      <c r="D643" s="21">
        <v>0.24</v>
      </c>
      <c r="E643" s="21">
        <v>0.065</v>
      </c>
      <c r="F643" s="22">
        <v>5.0</v>
      </c>
      <c r="G643" s="23"/>
      <c r="H643" s="24" t="s">
        <v>4445</v>
      </c>
      <c r="I643" s="21" t="s">
        <v>4446</v>
      </c>
      <c r="J643" s="20" t="s">
        <v>3365</v>
      </c>
      <c r="K643" s="24" t="s">
        <v>4473</v>
      </c>
      <c r="L643" s="20" t="s">
        <v>4474</v>
      </c>
      <c r="M643" s="25" t="s">
        <v>4475</v>
      </c>
      <c r="N643" s="26" t="s">
        <v>28</v>
      </c>
      <c r="O643" s="24" t="s">
        <v>4450</v>
      </c>
      <c r="P643" s="24" t="s">
        <v>4476</v>
      </c>
      <c r="Q643" s="27"/>
      <c r="R643" s="27"/>
      <c r="S643" s="28" t="s">
        <v>4477</v>
      </c>
      <c r="T643" s="8" t="s">
        <v>4478</v>
      </c>
      <c r="U643" s="29" t="s">
        <v>4446</v>
      </c>
      <c r="V643" s="24" t="str">
        <f>iferror(VLOOKUP(A643,'tagging table'!A:G,7,0),"")</f>
        <v>Drinks</v>
      </c>
    </row>
    <row r="644">
      <c r="A644" s="30">
        <v>7.290013585233E12</v>
      </c>
      <c r="B644" s="20" t="s">
        <v>4479</v>
      </c>
      <c r="C644" s="21">
        <v>0.057</v>
      </c>
      <c r="D644" s="21">
        <v>0.14</v>
      </c>
      <c r="E644" s="21">
        <v>0.057</v>
      </c>
      <c r="F644" s="22">
        <v>5.0</v>
      </c>
      <c r="G644" s="23"/>
      <c r="H644" s="24" t="s">
        <v>4445</v>
      </c>
      <c r="I644" s="21" t="s">
        <v>4446</v>
      </c>
      <c r="J644" s="20" t="s">
        <v>3365</v>
      </c>
      <c r="K644" s="24" t="s">
        <v>4480</v>
      </c>
      <c r="L644" s="20" t="s">
        <v>4481</v>
      </c>
      <c r="M644" s="25" t="s">
        <v>4482</v>
      </c>
      <c r="N644" s="26" t="s">
        <v>28</v>
      </c>
      <c r="O644" s="24" t="s">
        <v>4450</v>
      </c>
      <c r="P644" s="24" t="s">
        <v>4476</v>
      </c>
      <c r="Q644" s="27"/>
      <c r="R644" s="27"/>
      <c r="S644" s="28" t="s">
        <v>4483</v>
      </c>
      <c r="T644" s="8" t="s">
        <v>4484</v>
      </c>
      <c r="U644" s="29" t="s">
        <v>4446</v>
      </c>
      <c r="V644" s="24" t="str">
        <f>iferror(VLOOKUP(A644,'tagging table'!A:G,7,0),"")</f>
        <v>Drinks</v>
      </c>
    </row>
    <row r="645">
      <c r="A645" s="30">
        <v>2.8400055093E10</v>
      </c>
      <c r="B645" s="20" t="s">
        <v>4485</v>
      </c>
      <c r="C645" s="21">
        <v>0.09</v>
      </c>
      <c r="D645" s="21">
        <v>0.23</v>
      </c>
      <c r="E645" s="21">
        <v>0.08</v>
      </c>
      <c r="F645" s="22">
        <v>4.0</v>
      </c>
      <c r="G645" s="23"/>
      <c r="H645" s="36" t="s">
        <v>4486</v>
      </c>
      <c r="I645" s="21" t="s">
        <v>4487</v>
      </c>
      <c r="J645" s="24"/>
      <c r="K645" s="24" t="s">
        <v>4488</v>
      </c>
      <c r="L645" s="20" t="s">
        <v>4489</v>
      </c>
      <c r="M645" s="25" t="s">
        <v>4490</v>
      </c>
      <c r="N645" s="26" t="s">
        <v>28</v>
      </c>
      <c r="O645" s="24" t="s">
        <v>109</v>
      </c>
      <c r="P645" s="24" t="s">
        <v>3867</v>
      </c>
      <c r="Q645" s="27"/>
      <c r="R645" s="27"/>
      <c r="S645" s="28" t="s">
        <v>4491</v>
      </c>
      <c r="T645" s="8" t="s">
        <v>4490</v>
      </c>
      <c r="U645" s="29" t="s">
        <v>4487</v>
      </c>
      <c r="V645" s="21" t="s">
        <v>113</v>
      </c>
    </row>
    <row r="646">
      <c r="A646" s="30">
        <v>2.8400055109E10</v>
      </c>
      <c r="B646" s="20" t="s">
        <v>4492</v>
      </c>
      <c r="C646" s="21">
        <v>0.09</v>
      </c>
      <c r="D646" s="21">
        <v>0.23</v>
      </c>
      <c r="E646" s="21">
        <v>0.08</v>
      </c>
      <c r="F646" s="22">
        <v>4.0</v>
      </c>
      <c r="G646" s="23"/>
      <c r="H646" s="36" t="s">
        <v>4486</v>
      </c>
      <c r="I646" s="21" t="s">
        <v>4487</v>
      </c>
      <c r="J646" s="24"/>
      <c r="K646" s="24" t="s">
        <v>4493</v>
      </c>
      <c r="L646" s="20" t="s">
        <v>4494</v>
      </c>
      <c r="M646" s="25" t="s">
        <v>4495</v>
      </c>
      <c r="N646" s="26" t="s">
        <v>28</v>
      </c>
      <c r="O646" s="24" t="s">
        <v>109</v>
      </c>
      <c r="P646" s="24" t="s">
        <v>3867</v>
      </c>
      <c r="Q646" s="27"/>
      <c r="R646" s="27"/>
      <c r="S646" s="28" t="s">
        <v>4496</v>
      </c>
      <c r="T646" s="8" t="s">
        <v>4495</v>
      </c>
      <c r="U646" s="29" t="s">
        <v>4487</v>
      </c>
      <c r="V646" s="21" t="s">
        <v>113</v>
      </c>
    </row>
    <row r="647">
      <c r="A647" s="30">
        <v>2.8400055154E10</v>
      </c>
      <c r="B647" s="20" t="s">
        <v>4497</v>
      </c>
      <c r="C647" s="21">
        <v>0.09</v>
      </c>
      <c r="D647" s="21">
        <v>0.23</v>
      </c>
      <c r="E647" s="21">
        <v>0.08</v>
      </c>
      <c r="F647" s="22">
        <v>4.0</v>
      </c>
      <c r="G647" s="23"/>
      <c r="H647" s="36" t="s">
        <v>4486</v>
      </c>
      <c r="I647" s="21" t="s">
        <v>4487</v>
      </c>
      <c r="J647" s="24"/>
      <c r="K647" s="24" t="s">
        <v>4498</v>
      </c>
      <c r="L647" s="20" t="s">
        <v>4499</v>
      </c>
      <c r="M647" s="25" t="s">
        <v>4500</v>
      </c>
      <c r="N647" s="26" t="s">
        <v>28</v>
      </c>
      <c r="O647" s="24" t="s">
        <v>109</v>
      </c>
      <c r="P647" s="24" t="s">
        <v>3867</v>
      </c>
      <c r="Q647" s="27"/>
      <c r="R647" s="27"/>
      <c r="S647" s="28" t="s">
        <v>4501</v>
      </c>
      <c r="T647" s="8" t="s">
        <v>4500</v>
      </c>
      <c r="U647" s="29" t="s">
        <v>4487</v>
      </c>
      <c r="V647" s="21" t="s">
        <v>113</v>
      </c>
    </row>
    <row r="648">
      <c r="A648" s="30">
        <v>7.290002542773E12</v>
      </c>
      <c r="B648" s="20" t="s">
        <v>4502</v>
      </c>
      <c r="C648" s="21">
        <v>0.06</v>
      </c>
      <c r="D648" s="21">
        <v>0.23</v>
      </c>
      <c r="E648" s="21">
        <v>0.06</v>
      </c>
      <c r="F648" s="22">
        <v>5.0</v>
      </c>
      <c r="G648" s="23"/>
      <c r="H648" s="24" t="s">
        <v>4503</v>
      </c>
      <c r="I648" s="21" t="s">
        <v>4504</v>
      </c>
      <c r="J648" s="20" t="s">
        <v>914</v>
      </c>
      <c r="K648" s="24" t="s">
        <v>4505</v>
      </c>
      <c r="L648" s="20" t="s">
        <v>4506</v>
      </c>
      <c r="M648" s="25" t="s">
        <v>4507</v>
      </c>
      <c r="N648" s="26" t="s">
        <v>37</v>
      </c>
      <c r="O648" s="24" t="s">
        <v>365</v>
      </c>
      <c r="P648" s="24" t="s">
        <v>536</v>
      </c>
      <c r="Q648" s="27"/>
      <c r="R648" s="27"/>
      <c r="S648" s="28" t="s">
        <v>4508</v>
      </c>
      <c r="T648" s="8" t="s">
        <v>4509</v>
      </c>
      <c r="U648" s="29" t="e">
        <v>#N/A</v>
      </c>
      <c r="V648" s="21" t="s">
        <v>573</v>
      </c>
    </row>
    <row r="649">
      <c r="A649" s="30">
        <v>5.410228217732E12</v>
      </c>
      <c r="B649" s="20" t="s">
        <v>4510</v>
      </c>
      <c r="C649" s="21">
        <v>0.065</v>
      </c>
      <c r="D649" s="21">
        <v>0.15</v>
      </c>
      <c r="E649" s="21">
        <v>0.065</v>
      </c>
      <c r="F649" s="22">
        <v>5.0</v>
      </c>
      <c r="G649" s="23"/>
      <c r="H649" s="24" t="s">
        <v>4503</v>
      </c>
      <c r="I649" s="21" t="s">
        <v>4504</v>
      </c>
      <c r="J649" s="20" t="s">
        <v>914</v>
      </c>
      <c r="K649" s="24" t="s">
        <v>4511</v>
      </c>
      <c r="L649" s="20" t="s">
        <v>4512</v>
      </c>
      <c r="M649" s="25" t="s">
        <v>4513</v>
      </c>
      <c r="N649" s="26" t="s">
        <v>28</v>
      </c>
      <c r="O649" s="24" t="s">
        <v>365</v>
      </c>
      <c r="P649" s="24" t="s">
        <v>543</v>
      </c>
      <c r="Q649" s="27"/>
      <c r="R649" s="27"/>
      <c r="S649" s="31" t="s">
        <v>4514</v>
      </c>
      <c r="T649" s="33" t="s">
        <v>4515</v>
      </c>
      <c r="U649" s="29" t="s">
        <v>546</v>
      </c>
      <c r="V649" s="24" t="str">
        <f>iferror(VLOOKUP(A649,'tagging table'!A:G,7,0),"")</f>
        <v>Drinks</v>
      </c>
    </row>
    <row r="650">
      <c r="A650" s="30">
        <v>5.035766044673E12</v>
      </c>
      <c r="B650" s="20" t="s">
        <v>4516</v>
      </c>
      <c r="C650" s="21">
        <v>0.055</v>
      </c>
      <c r="D650" s="21">
        <v>0.239</v>
      </c>
      <c r="E650" s="21">
        <v>0.055</v>
      </c>
      <c r="F650" s="22">
        <v>5.0</v>
      </c>
      <c r="G650" s="23"/>
      <c r="H650" s="24" t="s">
        <v>4517</v>
      </c>
      <c r="I650" s="21" t="s">
        <v>4518</v>
      </c>
      <c r="J650" s="20" t="s">
        <v>508</v>
      </c>
      <c r="K650" s="24" t="s">
        <v>4519</v>
      </c>
      <c r="L650" s="20" t="s">
        <v>4520</v>
      </c>
      <c r="M650" s="25" t="s">
        <v>4521</v>
      </c>
      <c r="N650" s="26" t="s">
        <v>28</v>
      </c>
      <c r="O650" s="24" t="s">
        <v>512</v>
      </c>
      <c r="P650" s="24" t="s">
        <v>513</v>
      </c>
      <c r="Q650" s="27"/>
      <c r="R650" s="27"/>
      <c r="S650" s="31" t="s">
        <v>4522</v>
      </c>
      <c r="T650" s="8" t="s">
        <v>4523</v>
      </c>
      <c r="U650" s="29" t="s">
        <v>4524</v>
      </c>
      <c r="V650" s="24" t="str">
        <f>iferror(VLOOKUP(A650,'tagging table'!A:G,7,0),"")</f>
        <v>Drinks</v>
      </c>
    </row>
    <row r="651">
      <c r="A651" s="30">
        <v>7.290003643387E12</v>
      </c>
      <c r="B651" s="20" t="s">
        <v>4525</v>
      </c>
      <c r="C651" s="21">
        <v>0.09999999</v>
      </c>
      <c r="D651" s="21">
        <v>0.16</v>
      </c>
      <c r="E651" s="21">
        <v>0.057</v>
      </c>
      <c r="F651" s="22">
        <v>5.0</v>
      </c>
      <c r="G651" s="23"/>
      <c r="H651" s="24" t="s">
        <v>4526</v>
      </c>
      <c r="I651" s="21" t="s">
        <v>4527</v>
      </c>
      <c r="J651" s="24"/>
      <c r="K651" s="24" t="s">
        <v>4528</v>
      </c>
      <c r="L651" s="20" t="s">
        <v>4529</v>
      </c>
      <c r="M651" s="25" t="s">
        <v>4530</v>
      </c>
      <c r="N651" s="26" t="s">
        <v>37</v>
      </c>
      <c r="O651" s="24" t="s">
        <v>4531</v>
      </c>
      <c r="P651" s="24" t="s">
        <v>4531</v>
      </c>
      <c r="Q651" s="27"/>
      <c r="R651" s="27"/>
      <c r="S651" s="28" t="s">
        <v>4532</v>
      </c>
      <c r="T651" s="8" t="s">
        <v>4533</v>
      </c>
      <c r="U651" s="29" t="e">
        <v>#N/A</v>
      </c>
      <c r="V651" s="21" t="s">
        <v>55</v>
      </c>
    </row>
    <row r="652">
      <c r="A652" s="30">
        <v>4584351.0</v>
      </c>
      <c r="B652" s="20" t="s">
        <v>4534</v>
      </c>
      <c r="C652" s="21">
        <v>0.122</v>
      </c>
      <c r="D652" s="21">
        <v>0.06</v>
      </c>
      <c r="E652" s="21">
        <v>0.08</v>
      </c>
      <c r="F652" s="22">
        <v>4.0</v>
      </c>
      <c r="G652" s="23"/>
      <c r="H652" s="24" t="s">
        <v>4535</v>
      </c>
      <c r="I652" s="21" t="s">
        <v>4536</v>
      </c>
      <c r="J652" s="24"/>
      <c r="K652" s="24" t="s">
        <v>4537</v>
      </c>
      <c r="L652" s="20" t="s">
        <v>4538</v>
      </c>
      <c r="M652" s="25" t="s">
        <v>4539</v>
      </c>
      <c r="N652" s="26" t="s">
        <v>28</v>
      </c>
      <c r="O652" s="24" t="s">
        <v>4540</v>
      </c>
      <c r="P652" s="24" t="s">
        <v>4541</v>
      </c>
      <c r="Q652" s="27"/>
      <c r="R652" s="27"/>
      <c r="S652" s="28" t="s">
        <v>4542</v>
      </c>
      <c r="T652" s="8" t="s">
        <v>4543</v>
      </c>
      <c r="U652" s="29" t="s">
        <v>4544</v>
      </c>
      <c r="V652" s="24" t="str">
        <f>iferror(VLOOKUP(A652,'tagging table'!A:G,7,0),"")</f>
        <v>Dairy</v>
      </c>
    </row>
    <row r="653">
      <c r="A653" s="30">
        <v>5839108.0</v>
      </c>
      <c r="B653" s="20" t="s">
        <v>4545</v>
      </c>
      <c r="C653" s="21">
        <v>0.122</v>
      </c>
      <c r="D653" s="21">
        <v>0.06</v>
      </c>
      <c r="E653" s="21">
        <v>0.08</v>
      </c>
      <c r="F653" s="22">
        <v>4.0</v>
      </c>
      <c r="G653" s="23"/>
      <c r="H653" s="24" t="s">
        <v>4535</v>
      </c>
      <c r="I653" s="21" t="s">
        <v>4536</v>
      </c>
      <c r="J653" s="24"/>
      <c r="K653" s="24" t="s">
        <v>4546</v>
      </c>
      <c r="L653" s="20" t="s">
        <v>4547</v>
      </c>
      <c r="M653" s="25" t="s">
        <v>4548</v>
      </c>
      <c r="N653" s="26" t="s">
        <v>28</v>
      </c>
      <c r="O653" s="24" t="s">
        <v>4540</v>
      </c>
      <c r="P653" s="24" t="s">
        <v>4549</v>
      </c>
      <c r="Q653" s="27"/>
      <c r="R653" s="27"/>
      <c r="S653" s="28" t="s">
        <v>4550</v>
      </c>
      <c r="T653" s="8" t="s">
        <v>4551</v>
      </c>
      <c r="U653" s="29" t="s">
        <v>4544</v>
      </c>
      <c r="V653" s="24" t="str">
        <f>iferror(VLOOKUP(A653,'tagging table'!A:G,7,0),"")</f>
        <v>Dairy</v>
      </c>
    </row>
    <row r="654">
      <c r="A654" s="30">
        <v>7.2917367E7</v>
      </c>
      <c r="B654" s="20" t="s">
        <v>4552</v>
      </c>
      <c r="C654" s="21">
        <v>0.135</v>
      </c>
      <c r="D654" s="21">
        <v>0.05</v>
      </c>
      <c r="E654" s="21">
        <v>0.02</v>
      </c>
      <c r="F654" s="22">
        <v>15.0</v>
      </c>
      <c r="G654" s="23"/>
      <c r="H654" s="24" t="s">
        <v>4553</v>
      </c>
      <c r="I654" s="21" t="s">
        <v>4554</v>
      </c>
      <c r="J654" s="24"/>
      <c r="K654" s="24" t="s">
        <v>4555</v>
      </c>
      <c r="L654" s="20" t="s">
        <v>4556</v>
      </c>
      <c r="M654" s="25" t="s">
        <v>4557</v>
      </c>
      <c r="N654" s="26" t="s">
        <v>28</v>
      </c>
      <c r="O654" s="24" t="s">
        <v>501</v>
      </c>
      <c r="P654" s="24" t="s">
        <v>502</v>
      </c>
      <c r="Q654" s="27"/>
      <c r="R654" s="27"/>
      <c r="S654" s="31" t="s">
        <v>4558</v>
      </c>
      <c r="T654" s="8" t="s">
        <v>4559</v>
      </c>
      <c r="U654" s="29" t="s">
        <v>4554</v>
      </c>
      <c r="V654" s="24" t="str">
        <f>iferror(VLOOKUP(A654,'tagging table'!A:G,7,0),"")</f>
        <v>Cashiers</v>
      </c>
    </row>
    <row r="655">
      <c r="A655" s="30">
        <v>7.29010472253E12</v>
      </c>
      <c r="B655" s="20" t="s">
        <v>4560</v>
      </c>
      <c r="C655" s="21">
        <v>0.1675</v>
      </c>
      <c r="D655" s="21">
        <v>0.3</v>
      </c>
      <c r="E655" s="21">
        <v>0.06</v>
      </c>
      <c r="F655" s="22">
        <v>5.0</v>
      </c>
      <c r="G655" s="23"/>
      <c r="H655" s="24" t="s">
        <v>4561</v>
      </c>
      <c r="I655" s="21" t="s">
        <v>4562</v>
      </c>
      <c r="J655" s="24"/>
      <c r="K655" s="24" t="s">
        <v>4563</v>
      </c>
      <c r="L655" s="20" t="s">
        <v>4564</v>
      </c>
      <c r="M655" s="25" t="s">
        <v>4565</v>
      </c>
      <c r="N655" s="26" t="s">
        <v>28</v>
      </c>
      <c r="O655" s="24" t="s">
        <v>109</v>
      </c>
      <c r="P655" s="24" t="s">
        <v>3867</v>
      </c>
      <c r="Q655" s="27"/>
      <c r="R655" s="27"/>
      <c r="S655" s="28" t="s">
        <v>4566</v>
      </c>
      <c r="T655" s="8" t="s">
        <v>4565</v>
      </c>
      <c r="U655" s="29" t="s">
        <v>4562</v>
      </c>
      <c r="V655" s="21" t="s">
        <v>113</v>
      </c>
    </row>
    <row r="656">
      <c r="A656" s="30">
        <v>7.29010203033E12</v>
      </c>
      <c r="B656" s="20" t="s">
        <v>4567</v>
      </c>
      <c r="C656" s="21">
        <v>0.1675</v>
      </c>
      <c r="D656" s="21">
        <v>0.3</v>
      </c>
      <c r="E656" s="21">
        <v>0.06</v>
      </c>
      <c r="F656" s="22">
        <v>5.0</v>
      </c>
      <c r="G656" s="23"/>
      <c r="H656" s="24" t="s">
        <v>4561</v>
      </c>
      <c r="I656" s="21" t="s">
        <v>4562</v>
      </c>
      <c r="J656" s="24"/>
      <c r="K656" s="24" t="s">
        <v>4568</v>
      </c>
      <c r="L656" s="20" t="s">
        <v>4569</v>
      </c>
      <c r="M656" s="25" t="s">
        <v>4570</v>
      </c>
      <c r="N656" s="26" t="s">
        <v>28</v>
      </c>
      <c r="O656" s="24" t="s">
        <v>109</v>
      </c>
      <c r="P656" s="24" t="s">
        <v>3867</v>
      </c>
      <c r="Q656" s="27"/>
      <c r="R656" s="27"/>
      <c r="S656" s="28" t="s">
        <v>4571</v>
      </c>
      <c r="T656" s="8" t="s">
        <v>4570</v>
      </c>
      <c r="U656" s="29" t="s">
        <v>4562</v>
      </c>
      <c r="V656" s="21" t="s">
        <v>113</v>
      </c>
    </row>
    <row r="657">
      <c r="A657" s="30">
        <v>7.290106662025E12</v>
      </c>
      <c r="B657" s="20" t="s">
        <v>4572</v>
      </c>
      <c r="C657" s="21">
        <v>0.133</v>
      </c>
      <c r="D657" s="21">
        <v>0.18</v>
      </c>
      <c r="E657" s="21">
        <v>0.06</v>
      </c>
      <c r="F657" s="22">
        <v>5.0</v>
      </c>
      <c r="G657" s="23"/>
      <c r="H657" s="24" t="s">
        <v>4561</v>
      </c>
      <c r="I657" s="21" t="s">
        <v>4562</v>
      </c>
      <c r="J657" s="24"/>
      <c r="K657" s="24" t="s">
        <v>4573</v>
      </c>
      <c r="L657" s="20" t="s">
        <v>4574</v>
      </c>
      <c r="M657" s="25" t="s">
        <v>4575</v>
      </c>
      <c r="N657" s="26" t="s">
        <v>37</v>
      </c>
      <c r="O657" s="24" t="s">
        <v>109</v>
      </c>
      <c r="P657" s="24" t="s">
        <v>3867</v>
      </c>
      <c r="Q657" s="27"/>
      <c r="R657" s="27"/>
      <c r="S657" s="28" t="s">
        <v>4576</v>
      </c>
      <c r="T657" s="8" t="s">
        <v>4577</v>
      </c>
      <c r="U657" s="29" t="e">
        <v>#N/A</v>
      </c>
      <c r="V657" s="21" t="s">
        <v>113</v>
      </c>
    </row>
    <row r="658">
      <c r="A658" s="30">
        <v>7.290106524439E12</v>
      </c>
      <c r="B658" s="20" t="s">
        <v>4578</v>
      </c>
      <c r="C658" s="21">
        <v>0.133</v>
      </c>
      <c r="D658" s="21">
        <v>0.18</v>
      </c>
      <c r="E658" s="21">
        <v>0.06</v>
      </c>
      <c r="F658" s="22">
        <v>5.0</v>
      </c>
      <c r="G658" s="23"/>
      <c r="H658" s="24" t="s">
        <v>4561</v>
      </c>
      <c r="I658" s="21" t="s">
        <v>4562</v>
      </c>
      <c r="J658" s="24"/>
      <c r="K658" s="24" t="s">
        <v>4579</v>
      </c>
      <c r="L658" s="20" t="s">
        <v>4580</v>
      </c>
      <c r="M658" s="25" t="s">
        <v>4581</v>
      </c>
      <c r="N658" s="26" t="s">
        <v>28</v>
      </c>
      <c r="O658" s="24" t="s">
        <v>109</v>
      </c>
      <c r="P658" s="24" t="s">
        <v>3867</v>
      </c>
      <c r="Q658" s="27"/>
      <c r="R658" s="27"/>
      <c r="S658" s="28" t="s">
        <v>4582</v>
      </c>
      <c r="T658" s="8" t="s">
        <v>4581</v>
      </c>
      <c r="U658" s="29" t="s">
        <v>4562</v>
      </c>
      <c r="V658" s="21" t="s">
        <v>113</v>
      </c>
    </row>
    <row r="659">
      <c r="A659" s="30">
        <v>7.290112342195E12</v>
      </c>
      <c r="B659" s="20" t="s">
        <v>4583</v>
      </c>
      <c r="C659" s="21">
        <v>0.1675</v>
      </c>
      <c r="D659" s="21">
        <v>0.3</v>
      </c>
      <c r="E659" s="21">
        <v>0.06</v>
      </c>
      <c r="F659" s="22">
        <v>5.0</v>
      </c>
      <c r="G659" s="23"/>
      <c r="H659" s="24" t="s">
        <v>4561</v>
      </c>
      <c r="I659" s="21" t="s">
        <v>4562</v>
      </c>
      <c r="J659" s="24"/>
      <c r="K659" s="24" t="s">
        <v>4584</v>
      </c>
      <c r="L659" s="20" t="s">
        <v>4585</v>
      </c>
      <c r="M659" s="25" t="s">
        <v>4586</v>
      </c>
      <c r="N659" s="26" t="s">
        <v>28</v>
      </c>
      <c r="O659" s="24" t="s">
        <v>109</v>
      </c>
      <c r="P659" s="24" t="s">
        <v>3867</v>
      </c>
      <c r="Q659" s="27"/>
      <c r="R659" s="27"/>
      <c r="S659" s="31" t="s">
        <v>4587</v>
      </c>
      <c r="T659" s="33" t="s">
        <v>4586</v>
      </c>
      <c r="U659" s="29" t="s">
        <v>4562</v>
      </c>
      <c r="V659" s="21" t="s">
        <v>113</v>
      </c>
    </row>
    <row r="660">
      <c r="A660" s="30">
        <v>7.290107942355E12</v>
      </c>
      <c r="B660" s="20" t="s">
        <v>4588</v>
      </c>
      <c r="C660" s="21">
        <v>0.14</v>
      </c>
      <c r="D660" s="21">
        <v>0.175</v>
      </c>
      <c r="E660" s="21">
        <v>0.06</v>
      </c>
      <c r="F660" s="22">
        <v>5.0</v>
      </c>
      <c r="G660" s="23"/>
      <c r="H660" s="24" t="s">
        <v>4561</v>
      </c>
      <c r="I660" s="21" t="s">
        <v>4562</v>
      </c>
      <c r="J660" s="24"/>
      <c r="K660" s="24" t="s">
        <v>4589</v>
      </c>
      <c r="L660" s="20" t="s">
        <v>4590</v>
      </c>
      <c r="M660" s="25" t="s">
        <v>4591</v>
      </c>
      <c r="N660" s="26" t="s">
        <v>37</v>
      </c>
      <c r="O660" s="24" t="s">
        <v>109</v>
      </c>
      <c r="P660" s="24" t="s">
        <v>3867</v>
      </c>
      <c r="Q660" s="27"/>
      <c r="R660" s="27"/>
      <c r="S660" s="28" t="s">
        <v>4592</v>
      </c>
      <c r="T660" s="8" t="s">
        <v>4593</v>
      </c>
      <c r="U660" s="29" t="e">
        <v>#N/A</v>
      </c>
      <c r="V660" s="21" t="s">
        <v>113</v>
      </c>
    </row>
    <row r="661">
      <c r="A661" s="30">
        <v>7.290008753111E12</v>
      </c>
      <c r="B661" s="20" t="s">
        <v>4594</v>
      </c>
      <c r="C661" s="21">
        <v>0.133</v>
      </c>
      <c r="D661" s="21">
        <v>0.18</v>
      </c>
      <c r="E661" s="21">
        <v>0.06</v>
      </c>
      <c r="F661" s="22">
        <v>5.0</v>
      </c>
      <c r="G661" s="23"/>
      <c r="H661" s="24" t="s">
        <v>4561</v>
      </c>
      <c r="I661" s="21" t="s">
        <v>4562</v>
      </c>
      <c r="J661" s="24"/>
      <c r="K661" s="24" t="s">
        <v>4595</v>
      </c>
      <c r="L661" s="20" t="s">
        <v>4596</v>
      </c>
      <c r="M661" s="25" t="s">
        <v>4597</v>
      </c>
      <c r="N661" s="26" t="s">
        <v>37</v>
      </c>
      <c r="O661" s="24" t="s">
        <v>109</v>
      </c>
      <c r="P661" s="24" t="s">
        <v>3867</v>
      </c>
      <c r="Q661" s="27"/>
      <c r="R661" s="27"/>
      <c r="S661" s="28" t="s">
        <v>4598</v>
      </c>
      <c r="T661" s="8" t="s">
        <v>4599</v>
      </c>
      <c r="U661" s="29" t="e">
        <v>#N/A</v>
      </c>
      <c r="V661" s="21" t="s">
        <v>113</v>
      </c>
    </row>
    <row r="662">
      <c r="A662" s="30">
        <v>7.290110561918E12</v>
      </c>
      <c r="B662" s="20" t="s">
        <v>4600</v>
      </c>
      <c r="C662" s="21">
        <v>0.13</v>
      </c>
      <c r="D662" s="21">
        <v>0.18</v>
      </c>
      <c r="E662" s="21">
        <v>0.05</v>
      </c>
      <c r="F662" s="22">
        <v>6.0</v>
      </c>
      <c r="G662" s="23"/>
      <c r="H662" s="24" t="s">
        <v>4561</v>
      </c>
      <c r="I662" s="21" t="s">
        <v>4562</v>
      </c>
      <c r="J662" s="24"/>
      <c r="K662" s="24" t="s">
        <v>4601</v>
      </c>
      <c r="L662" s="20" t="s">
        <v>4602</v>
      </c>
      <c r="M662" s="25" t="s">
        <v>4603</v>
      </c>
      <c r="N662" s="26" t="s">
        <v>28</v>
      </c>
      <c r="O662" s="24" t="s">
        <v>109</v>
      </c>
      <c r="P662" s="24" t="s">
        <v>3867</v>
      </c>
      <c r="Q662" s="27"/>
      <c r="R662" s="27"/>
      <c r="S662" s="28" t="s">
        <v>4604</v>
      </c>
      <c r="T662" s="8" t="s">
        <v>4603</v>
      </c>
      <c r="U662" s="29" t="s">
        <v>4562</v>
      </c>
      <c r="V662" s="21" t="s">
        <v>113</v>
      </c>
    </row>
    <row r="663">
      <c r="A663" s="30">
        <v>7.290112359018E12</v>
      </c>
      <c r="B663" s="20" t="s">
        <v>4605</v>
      </c>
      <c r="C663" s="21">
        <v>0.13</v>
      </c>
      <c r="D663" s="21">
        <v>0.18</v>
      </c>
      <c r="E663" s="21">
        <v>0.043</v>
      </c>
      <c r="F663" s="22">
        <v>7.0</v>
      </c>
      <c r="G663" s="23"/>
      <c r="H663" s="24" t="s">
        <v>4561</v>
      </c>
      <c r="I663" s="21" t="s">
        <v>4562</v>
      </c>
      <c r="J663" s="24"/>
      <c r="K663" s="24" t="s">
        <v>4606</v>
      </c>
      <c r="L663" s="20" t="s">
        <v>4607</v>
      </c>
      <c r="M663" s="25" t="s">
        <v>4608</v>
      </c>
      <c r="N663" s="26" t="s">
        <v>28</v>
      </c>
      <c r="O663" s="24" t="s">
        <v>109</v>
      </c>
      <c r="P663" s="24" t="s">
        <v>3867</v>
      </c>
      <c r="Q663" s="27"/>
      <c r="R663" s="27"/>
      <c r="S663" s="28" t="s">
        <v>4609</v>
      </c>
      <c r="T663" s="8" t="s">
        <v>4608</v>
      </c>
      <c r="U663" s="29" t="s">
        <v>4562</v>
      </c>
      <c r="V663" s="21" t="s">
        <v>113</v>
      </c>
    </row>
    <row r="664">
      <c r="A664" s="30">
        <v>7.290005200786E12</v>
      </c>
      <c r="B664" s="20" t="s">
        <v>4610</v>
      </c>
      <c r="C664" s="21">
        <v>0.133</v>
      </c>
      <c r="D664" s="21">
        <v>0.18</v>
      </c>
      <c r="E664" s="21">
        <v>0.06</v>
      </c>
      <c r="F664" s="22">
        <v>5.0</v>
      </c>
      <c r="G664" s="23"/>
      <c r="H664" s="24" t="s">
        <v>4561</v>
      </c>
      <c r="I664" s="21" t="s">
        <v>4562</v>
      </c>
      <c r="J664" s="24"/>
      <c r="K664" s="24" t="s">
        <v>4611</v>
      </c>
      <c r="L664" s="20" t="s">
        <v>4612</v>
      </c>
      <c r="M664" s="25" t="s">
        <v>4613</v>
      </c>
      <c r="N664" s="26" t="s">
        <v>37</v>
      </c>
      <c r="O664" s="24" t="s">
        <v>109</v>
      </c>
      <c r="P664" s="24" t="s">
        <v>3867</v>
      </c>
      <c r="Q664" s="27"/>
      <c r="R664" s="27"/>
      <c r="S664" s="28" t="s">
        <v>4614</v>
      </c>
      <c r="T664" s="8" t="s">
        <v>4615</v>
      </c>
      <c r="U664" s="29" t="e">
        <v>#N/A</v>
      </c>
      <c r="V664" s="21" t="s">
        <v>113</v>
      </c>
    </row>
    <row r="665">
      <c r="A665" s="30">
        <v>7.290008752244E12</v>
      </c>
      <c r="B665" s="20" t="s">
        <v>4616</v>
      </c>
      <c r="C665" s="21">
        <v>0.133</v>
      </c>
      <c r="D665" s="21">
        <v>0.18</v>
      </c>
      <c r="E665" s="21">
        <v>0.06</v>
      </c>
      <c r="F665" s="22">
        <v>5.0</v>
      </c>
      <c r="G665" s="23"/>
      <c r="H665" s="24" t="s">
        <v>4561</v>
      </c>
      <c r="I665" s="21" t="s">
        <v>4562</v>
      </c>
      <c r="J665" s="24"/>
      <c r="K665" s="24" t="s">
        <v>4617</v>
      </c>
      <c r="L665" s="20" t="s">
        <v>4618</v>
      </c>
      <c r="M665" s="25" t="s">
        <v>4619</v>
      </c>
      <c r="N665" s="26" t="s">
        <v>37</v>
      </c>
      <c r="O665" s="24" t="s">
        <v>109</v>
      </c>
      <c r="P665" s="24" t="s">
        <v>3867</v>
      </c>
      <c r="Q665" s="27"/>
      <c r="R665" s="27"/>
      <c r="S665" s="28" t="s">
        <v>4620</v>
      </c>
      <c r="T665" s="8" t="s">
        <v>4621</v>
      </c>
      <c r="U665" s="29" t="e">
        <v>#N/A</v>
      </c>
      <c r="V665" s="21" t="s">
        <v>113</v>
      </c>
    </row>
    <row r="666">
      <c r="A666" s="30">
        <v>7.290000178721E12</v>
      </c>
      <c r="B666" s="20" t="s">
        <v>4622</v>
      </c>
      <c r="C666" s="21">
        <v>0.1675</v>
      </c>
      <c r="D666" s="21">
        <v>0.3</v>
      </c>
      <c r="E666" s="21">
        <v>0.06</v>
      </c>
      <c r="F666" s="22">
        <v>5.0</v>
      </c>
      <c r="G666" s="23"/>
      <c r="H666" s="24" t="s">
        <v>4561</v>
      </c>
      <c r="I666" s="21" t="s">
        <v>4562</v>
      </c>
      <c r="J666" s="24"/>
      <c r="K666" s="24" t="s">
        <v>4623</v>
      </c>
      <c r="L666" s="20" t="s">
        <v>4624</v>
      </c>
      <c r="M666" s="25" t="s">
        <v>4625</v>
      </c>
      <c r="N666" s="26" t="s">
        <v>37</v>
      </c>
      <c r="O666" s="24" t="s">
        <v>109</v>
      </c>
      <c r="P666" s="24" t="s">
        <v>3867</v>
      </c>
      <c r="Q666" s="27"/>
      <c r="R666" s="27"/>
      <c r="S666" s="28" t="s">
        <v>4626</v>
      </c>
      <c r="T666" s="8" t="s">
        <v>4627</v>
      </c>
      <c r="U666" s="29" t="e">
        <v>#N/A</v>
      </c>
      <c r="V666" s="21" t="s">
        <v>113</v>
      </c>
    </row>
    <row r="667">
      <c r="A667" s="30">
        <v>7.290000178707E12</v>
      </c>
      <c r="B667" s="20" t="s">
        <v>4628</v>
      </c>
      <c r="C667" s="21">
        <v>0.133</v>
      </c>
      <c r="D667" s="21">
        <v>0.18</v>
      </c>
      <c r="E667" s="21">
        <v>0.06</v>
      </c>
      <c r="F667" s="22">
        <v>5.0</v>
      </c>
      <c r="G667" s="23"/>
      <c r="H667" s="24" t="s">
        <v>4561</v>
      </c>
      <c r="I667" s="21" t="s">
        <v>4562</v>
      </c>
      <c r="J667" s="24"/>
      <c r="K667" s="24" t="s">
        <v>4629</v>
      </c>
      <c r="L667" s="20" t="s">
        <v>4630</v>
      </c>
      <c r="M667" s="25" t="s">
        <v>4631</v>
      </c>
      <c r="N667" s="26" t="s">
        <v>37</v>
      </c>
      <c r="O667" s="24" t="s">
        <v>109</v>
      </c>
      <c r="P667" s="24" t="s">
        <v>3867</v>
      </c>
      <c r="Q667" s="27"/>
      <c r="R667" s="27"/>
      <c r="S667" s="28" t="s">
        <v>4632</v>
      </c>
      <c r="T667" s="8" t="s">
        <v>4633</v>
      </c>
      <c r="U667" s="29" t="e">
        <v>#N/A</v>
      </c>
      <c r="V667" s="21" t="s">
        <v>113</v>
      </c>
    </row>
    <row r="668">
      <c r="A668" s="30">
        <v>7.290008747547E12</v>
      </c>
      <c r="B668" s="20" t="s">
        <v>4634</v>
      </c>
      <c r="C668" s="21">
        <v>0.1675</v>
      </c>
      <c r="D668" s="21">
        <v>0.3</v>
      </c>
      <c r="E668" s="21">
        <v>0.06</v>
      </c>
      <c r="F668" s="22">
        <v>5.0</v>
      </c>
      <c r="G668" s="23"/>
      <c r="H668" s="24" t="s">
        <v>4561</v>
      </c>
      <c r="I668" s="21" t="s">
        <v>4562</v>
      </c>
      <c r="J668" s="24"/>
      <c r="K668" s="24" t="s">
        <v>4635</v>
      </c>
      <c r="L668" s="20" t="s">
        <v>4636</v>
      </c>
      <c r="M668" s="25" t="s">
        <v>4637</v>
      </c>
      <c r="N668" s="26" t="s">
        <v>37</v>
      </c>
      <c r="O668" s="24" t="s">
        <v>109</v>
      </c>
      <c r="P668" s="24" t="s">
        <v>3867</v>
      </c>
      <c r="Q668" s="27"/>
      <c r="R668" s="27"/>
      <c r="S668" s="28" t="s">
        <v>4638</v>
      </c>
      <c r="T668" s="8" t="s">
        <v>4639</v>
      </c>
      <c r="U668" s="29" t="e">
        <v>#N/A</v>
      </c>
      <c r="V668" s="21" t="s">
        <v>113</v>
      </c>
    </row>
    <row r="669">
      <c r="A669" s="30">
        <v>7.290008745239E12</v>
      </c>
      <c r="B669" s="20" t="s">
        <v>4640</v>
      </c>
      <c r="C669" s="21">
        <v>0.133</v>
      </c>
      <c r="D669" s="21">
        <v>0.18</v>
      </c>
      <c r="E669" s="21">
        <v>0.06</v>
      </c>
      <c r="F669" s="22">
        <v>5.0</v>
      </c>
      <c r="G669" s="23"/>
      <c r="H669" s="24" t="s">
        <v>4561</v>
      </c>
      <c r="I669" s="21" t="s">
        <v>4562</v>
      </c>
      <c r="J669" s="24"/>
      <c r="K669" s="24" t="s">
        <v>4641</v>
      </c>
      <c r="L669" s="20" t="s">
        <v>4642</v>
      </c>
      <c r="M669" s="25" t="s">
        <v>4643</v>
      </c>
      <c r="N669" s="26" t="s">
        <v>37</v>
      </c>
      <c r="O669" s="24" t="s">
        <v>109</v>
      </c>
      <c r="P669" s="24" t="s">
        <v>3867</v>
      </c>
      <c r="Q669" s="27"/>
      <c r="R669" s="27"/>
      <c r="S669" s="28" t="s">
        <v>4644</v>
      </c>
      <c r="T669" s="8" t="s">
        <v>4645</v>
      </c>
      <c r="U669" s="29" t="e">
        <v>#N/A</v>
      </c>
      <c r="V669" s="21" t="s">
        <v>113</v>
      </c>
    </row>
    <row r="670">
      <c r="A670" s="30">
        <v>7.29011567699E12</v>
      </c>
      <c r="B670" s="20" t="s">
        <v>4646</v>
      </c>
      <c r="C670" s="21">
        <v>0.14</v>
      </c>
      <c r="D670" s="21">
        <v>0.175</v>
      </c>
      <c r="E670" s="21">
        <v>0.045</v>
      </c>
      <c r="F670" s="22">
        <v>7.0</v>
      </c>
      <c r="G670" s="23"/>
      <c r="H670" s="24" t="s">
        <v>4561</v>
      </c>
      <c r="I670" s="21" t="s">
        <v>4562</v>
      </c>
      <c r="J670" s="24"/>
      <c r="K670" s="24" t="s">
        <v>4647</v>
      </c>
      <c r="L670" s="20" t="s">
        <v>4648</v>
      </c>
      <c r="M670" s="25" t="s">
        <v>4649</v>
      </c>
      <c r="N670" s="26" t="s">
        <v>37</v>
      </c>
      <c r="O670" s="24" t="s">
        <v>109</v>
      </c>
      <c r="P670" s="24" t="s">
        <v>3867</v>
      </c>
      <c r="Q670" s="27"/>
      <c r="R670" s="27"/>
      <c r="S670" s="28" t="s">
        <v>4650</v>
      </c>
      <c r="T670" s="8" t="s">
        <v>4651</v>
      </c>
      <c r="U670" s="29" t="e">
        <v>#N/A</v>
      </c>
      <c r="V670" s="21" t="s">
        <v>113</v>
      </c>
    </row>
    <row r="671">
      <c r="A671" s="30">
        <v>7.29000664451E12</v>
      </c>
      <c r="B671" s="20" t="s">
        <v>4652</v>
      </c>
      <c r="C671" s="21">
        <v>0.066</v>
      </c>
      <c r="D671" s="21">
        <v>0.196</v>
      </c>
      <c r="E671" s="21">
        <v>0.066</v>
      </c>
      <c r="F671" s="22">
        <v>5.0</v>
      </c>
      <c r="G671" s="23"/>
      <c r="H671" s="24" t="s">
        <v>4653</v>
      </c>
      <c r="I671" s="21" t="s">
        <v>4654</v>
      </c>
      <c r="J671" s="20" t="s">
        <v>1641</v>
      </c>
      <c r="K671" s="24" t="s">
        <v>4655</v>
      </c>
      <c r="L671" s="20" t="s">
        <v>4656</v>
      </c>
      <c r="M671" s="25" t="s">
        <v>4657</v>
      </c>
      <c r="N671" s="26" t="s">
        <v>37</v>
      </c>
      <c r="O671" s="24" t="s">
        <v>718</v>
      </c>
      <c r="P671" s="24" t="s">
        <v>719</v>
      </c>
      <c r="Q671" s="27"/>
      <c r="R671" s="27"/>
      <c r="S671" s="31" t="s">
        <v>4658</v>
      </c>
      <c r="T671" s="33" t="s">
        <v>4659</v>
      </c>
      <c r="U671" s="29" t="e">
        <v>#N/A</v>
      </c>
      <c r="V671" s="21" t="s">
        <v>573</v>
      </c>
    </row>
    <row r="672">
      <c r="A672" s="30">
        <v>7.29000556468E12</v>
      </c>
      <c r="B672" s="20" t="s">
        <v>4660</v>
      </c>
      <c r="C672" s="21">
        <v>0.09</v>
      </c>
      <c r="D672" s="21">
        <v>0.316</v>
      </c>
      <c r="E672" s="21">
        <v>0.09</v>
      </c>
      <c r="F672" s="22">
        <v>3.0</v>
      </c>
      <c r="G672" s="23"/>
      <c r="H672" s="24" t="s">
        <v>4653</v>
      </c>
      <c r="I672" s="21" t="s">
        <v>4654</v>
      </c>
      <c r="J672" s="20" t="s">
        <v>1641</v>
      </c>
      <c r="K672" s="24" t="s">
        <v>4661</v>
      </c>
      <c r="L672" s="20" t="s">
        <v>4662</v>
      </c>
      <c r="M672" s="25" t="s">
        <v>4663</v>
      </c>
      <c r="N672" s="26" t="s">
        <v>37</v>
      </c>
      <c r="O672" s="24" t="s">
        <v>718</v>
      </c>
      <c r="P672" s="24" t="s">
        <v>1526</v>
      </c>
      <c r="Q672" s="27"/>
      <c r="R672" s="27"/>
      <c r="S672" s="31" t="s">
        <v>4664</v>
      </c>
      <c r="T672" s="33" t="s">
        <v>4665</v>
      </c>
      <c r="U672" s="29" t="e">
        <v>#N/A</v>
      </c>
      <c r="V672" s="21" t="s">
        <v>573</v>
      </c>
    </row>
    <row r="673">
      <c r="A673" s="30">
        <v>7.290002663522E12</v>
      </c>
      <c r="B673" s="20" t="s">
        <v>4666</v>
      </c>
      <c r="C673" s="21">
        <v>0.09</v>
      </c>
      <c r="D673" s="21">
        <v>0.316</v>
      </c>
      <c r="E673" s="21">
        <v>0.09</v>
      </c>
      <c r="F673" s="22">
        <v>3.0</v>
      </c>
      <c r="G673" s="23"/>
      <c r="H673" s="24" t="s">
        <v>4653</v>
      </c>
      <c r="I673" s="21" t="s">
        <v>4654</v>
      </c>
      <c r="J673" s="20" t="s">
        <v>1641</v>
      </c>
      <c r="K673" s="24" t="s">
        <v>4667</v>
      </c>
      <c r="L673" s="20" t="s">
        <v>4668</v>
      </c>
      <c r="M673" s="25" t="s">
        <v>4669</v>
      </c>
      <c r="N673" s="26" t="s">
        <v>37</v>
      </c>
      <c r="O673" s="24" t="s">
        <v>718</v>
      </c>
      <c r="P673" s="24" t="s">
        <v>1526</v>
      </c>
      <c r="Q673" s="27"/>
      <c r="R673" s="27"/>
      <c r="S673" s="31" t="s">
        <v>4670</v>
      </c>
      <c r="T673" s="33" t="s">
        <v>4671</v>
      </c>
      <c r="U673" s="29" t="e">
        <v>#N/A</v>
      </c>
      <c r="V673" s="21" t="s">
        <v>573</v>
      </c>
    </row>
    <row r="674">
      <c r="A674" s="30">
        <v>7.290006644527E12</v>
      </c>
      <c r="B674" s="20" t="s">
        <v>4672</v>
      </c>
      <c r="C674" s="21">
        <v>0.066</v>
      </c>
      <c r="D674" s="21">
        <v>0.196</v>
      </c>
      <c r="E674" s="21">
        <v>0.066</v>
      </c>
      <c r="F674" s="22">
        <v>5.0</v>
      </c>
      <c r="G674" s="23"/>
      <c r="H674" s="24" t="s">
        <v>4653</v>
      </c>
      <c r="I674" s="21" t="s">
        <v>4654</v>
      </c>
      <c r="J674" s="20" t="s">
        <v>1641</v>
      </c>
      <c r="K674" s="24" t="s">
        <v>4673</v>
      </c>
      <c r="L674" s="20" t="s">
        <v>4674</v>
      </c>
      <c r="M674" s="25" t="s">
        <v>4675</v>
      </c>
      <c r="N674" s="26" t="s">
        <v>37</v>
      </c>
      <c r="O674" s="24" t="s">
        <v>718</v>
      </c>
      <c r="P674" s="24" t="s">
        <v>719</v>
      </c>
      <c r="Q674" s="27"/>
      <c r="R674" s="27"/>
      <c r="S674" s="31" t="s">
        <v>4676</v>
      </c>
      <c r="T674" s="33" t="s">
        <v>4677</v>
      </c>
      <c r="U674" s="29" t="e">
        <v>#N/A</v>
      </c>
      <c r="V674" s="21" t="s">
        <v>573</v>
      </c>
    </row>
    <row r="675">
      <c r="A675" s="30">
        <v>7.290000327624E12</v>
      </c>
      <c r="B675" s="20" t="s">
        <v>4678</v>
      </c>
      <c r="C675" s="21">
        <v>0.098</v>
      </c>
      <c r="D675" s="21">
        <v>0.335</v>
      </c>
      <c r="E675" s="21">
        <v>0.098</v>
      </c>
      <c r="F675" s="22">
        <v>3.0</v>
      </c>
      <c r="G675" s="23"/>
      <c r="H675" s="24" t="s">
        <v>4679</v>
      </c>
      <c r="I675" s="21" t="s">
        <v>4680</v>
      </c>
      <c r="J675" s="20" t="s">
        <v>133</v>
      </c>
      <c r="K675" s="24" t="s">
        <v>4681</v>
      </c>
      <c r="L675" s="20" t="s">
        <v>4682</v>
      </c>
      <c r="M675" s="25" t="s">
        <v>4683</v>
      </c>
      <c r="N675" s="26" t="s">
        <v>37</v>
      </c>
      <c r="O675" s="24" t="s">
        <v>2158</v>
      </c>
      <c r="P675" s="24" t="s">
        <v>2159</v>
      </c>
      <c r="Q675" s="27"/>
      <c r="R675" s="27"/>
      <c r="S675" s="31" t="s">
        <v>4684</v>
      </c>
      <c r="T675" s="8" t="s">
        <v>4685</v>
      </c>
      <c r="U675" s="29" t="e">
        <v>#N/A</v>
      </c>
      <c r="V675" s="21" t="s">
        <v>573</v>
      </c>
    </row>
    <row r="676">
      <c r="A676" s="30">
        <v>7.290000135151E12</v>
      </c>
      <c r="B676" s="20" t="s">
        <v>4686</v>
      </c>
      <c r="C676" s="21">
        <v>0.06</v>
      </c>
      <c r="D676" s="21">
        <v>0.197</v>
      </c>
      <c r="E676" s="21">
        <v>0.06</v>
      </c>
      <c r="F676" s="22">
        <v>5.0</v>
      </c>
      <c r="G676" s="23"/>
      <c r="H676" s="24" t="s">
        <v>4679</v>
      </c>
      <c r="I676" s="21" t="s">
        <v>4680</v>
      </c>
      <c r="J676" s="20" t="s">
        <v>133</v>
      </c>
      <c r="K676" s="24" t="s">
        <v>4687</v>
      </c>
      <c r="L676" s="20" t="s">
        <v>4688</v>
      </c>
      <c r="M676" s="25" t="s">
        <v>4689</v>
      </c>
      <c r="N676" s="26" t="s">
        <v>28</v>
      </c>
      <c r="O676" s="24" t="s">
        <v>2158</v>
      </c>
      <c r="P676" s="24" t="s">
        <v>2166</v>
      </c>
      <c r="Q676" s="27"/>
      <c r="R676" s="27"/>
      <c r="S676" s="28" t="s">
        <v>4690</v>
      </c>
      <c r="T676" s="8" t="s">
        <v>4691</v>
      </c>
      <c r="U676" s="29" t="s">
        <v>4692</v>
      </c>
      <c r="V676" s="24" t="str">
        <f>iferror(VLOOKUP(A676,'tagging table'!A:G,7,0),"")</f>
        <v>Drinks</v>
      </c>
    </row>
    <row r="677">
      <c r="A677" s="30">
        <v>7.290008464611E12</v>
      </c>
      <c r="B677" s="20" t="s">
        <v>4693</v>
      </c>
      <c r="C677" s="21">
        <v>0.06</v>
      </c>
      <c r="D677" s="21">
        <v>0.197</v>
      </c>
      <c r="E677" s="21">
        <v>0.06</v>
      </c>
      <c r="F677" s="22">
        <v>5.0</v>
      </c>
      <c r="G677" s="23"/>
      <c r="H677" s="24" t="s">
        <v>4679</v>
      </c>
      <c r="I677" s="21" t="s">
        <v>4680</v>
      </c>
      <c r="J677" s="20" t="s">
        <v>133</v>
      </c>
      <c r="K677" s="24" t="s">
        <v>4694</v>
      </c>
      <c r="L677" s="20" t="s">
        <v>4695</v>
      </c>
      <c r="M677" s="25" t="s">
        <v>4696</v>
      </c>
      <c r="N677" s="26" t="s">
        <v>28</v>
      </c>
      <c r="O677" s="24" t="s">
        <v>2158</v>
      </c>
      <c r="P677" s="24" t="s">
        <v>2166</v>
      </c>
      <c r="Q677" s="27"/>
      <c r="R677" s="27"/>
      <c r="S677" s="28" t="s">
        <v>4697</v>
      </c>
      <c r="T677" s="8" t="s">
        <v>4698</v>
      </c>
      <c r="U677" s="29" t="s">
        <v>4692</v>
      </c>
      <c r="V677" s="24" t="str">
        <f>iferror(VLOOKUP(A677,'tagging table'!A:G,7,0),"")</f>
        <v>Drinks</v>
      </c>
    </row>
    <row r="678">
      <c r="A678" s="30">
        <v>8.9079310036E12</v>
      </c>
      <c r="B678" s="20" t="s">
        <v>4699</v>
      </c>
      <c r="C678" s="21">
        <v>0.13</v>
      </c>
      <c r="D678" s="21">
        <v>0.19</v>
      </c>
      <c r="E678" s="21">
        <v>0.05</v>
      </c>
      <c r="F678" s="22">
        <v>6.0</v>
      </c>
      <c r="G678" s="23"/>
      <c r="H678" s="24" t="s">
        <v>4700</v>
      </c>
      <c r="I678" s="21" t="s">
        <v>4701</v>
      </c>
      <c r="J678" s="24"/>
      <c r="K678" s="24" t="s">
        <v>4702</v>
      </c>
      <c r="L678" s="20" t="s">
        <v>4703</v>
      </c>
      <c r="M678" s="25" t="s">
        <v>4704</v>
      </c>
      <c r="N678" s="26" t="s">
        <v>37</v>
      </c>
      <c r="O678" s="24" t="s">
        <v>109</v>
      </c>
      <c r="P678" s="24" t="s">
        <v>3867</v>
      </c>
      <c r="Q678" s="27"/>
      <c r="R678" s="27"/>
      <c r="S678" s="28" t="s">
        <v>4705</v>
      </c>
      <c r="T678" s="8" t="s">
        <v>4706</v>
      </c>
      <c r="U678" s="29" t="e">
        <v>#N/A</v>
      </c>
      <c r="V678" s="21" t="s">
        <v>113</v>
      </c>
    </row>
    <row r="679">
      <c r="A679" s="30">
        <v>7.290000072753E12</v>
      </c>
      <c r="B679" s="20" t="s">
        <v>4707</v>
      </c>
      <c r="C679" s="21">
        <v>0.09999999</v>
      </c>
      <c r="D679" s="21">
        <v>0.154</v>
      </c>
      <c r="E679" s="21">
        <v>0.087</v>
      </c>
      <c r="F679" s="22">
        <v>3.0</v>
      </c>
      <c r="G679" s="23"/>
      <c r="H679" s="24" t="s">
        <v>4708</v>
      </c>
      <c r="I679" s="21" t="s">
        <v>4709</v>
      </c>
      <c r="J679" s="24"/>
      <c r="K679" s="24" t="s">
        <v>4710</v>
      </c>
      <c r="L679" s="20" t="s">
        <v>4711</v>
      </c>
      <c r="M679" s="25" t="s">
        <v>4712</v>
      </c>
      <c r="N679" s="26" t="s">
        <v>37</v>
      </c>
      <c r="O679" s="24" t="s">
        <v>1262</v>
      </c>
      <c r="P679" s="24" t="s">
        <v>1263</v>
      </c>
      <c r="Q679" s="27"/>
      <c r="R679" s="27"/>
      <c r="S679" s="31" t="s">
        <v>4713</v>
      </c>
      <c r="T679" s="8" t="s">
        <v>4714</v>
      </c>
      <c r="U679" s="29" t="e">
        <v>#N/A</v>
      </c>
      <c r="V679" s="21" t="s">
        <v>55</v>
      </c>
    </row>
    <row r="680">
      <c r="A680" s="30">
        <v>8.0050124E7</v>
      </c>
      <c r="B680" s="20" t="s">
        <v>4715</v>
      </c>
      <c r="C680" s="21">
        <v>0.037</v>
      </c>
      <c r="D680" s="21">
        <v>0.061</v>
      </c>
      <c r="E680" s="21">
        <v>0.02</v>
      </c>
      <c r="F680" s="22">
        <v>15.0</v>
      </c>
      <c r="G680" s="23"/>
      <c r="H680" s="24" t="s">
        <v>4716</v>
      </c>
      <c r="I680" s="21" t="s">
        <v>4717</v>
      </c>
      <c r="J680" s="24"/>
      <c r="K680" s="24" t="s">
        <v>4718</v>
      </c>
      <c r="L680" s="20" t="s">
        <v>4719</v>
      </c>
      <c r="M680" s="25" t="s">
        <v>4720</v>
      </c>
      <c r="N680" s="26" t="s">
        <v>28</v>
      </c>
      <c r="O680" s="24" t="s">
        <v>1433</v>
      </c>
      <c r="P680" s="24" t="s">
        <v>4721</v>
      </c>
      <c r="Q680" s="27"/>
      <c r="R680" s="27"/>
      <c r="S680" s="28" t="s">
        <v>4722</v>
      </c>
      <c r="T680" s="8" t="s">
        <v>4723</v>
      </c>
      <c r="U680" s="29" t="s">
        <v>4717</v>
      </c>
      <c r="V680" s="24" t="str">
        <f>iferror(VLOOKUP(A680,'tagging table'!A:G,7,0),"")</f>
        <v>Cashiers</v>
      </c>
    </row>
    <row r="681">
      <c r="A681" s="30">
        <v>8.0050025E7</v>
      </c>
      <c r="B681" s="20" t="s">
        <v>4724</v>
      </c>
      <c r="C681" s="21">
        <v>0.037</v>
      </c>
      <c r="D681" s="21">
        <v>0.061</v>
      </c>
      <c r="E681" s="21">
        <v>0.02</v>
      </c>
      <c r="F681" s="22">
        <v>15.0</v>
      </c>
      <c r="G681" s="23"/>
      <c r="H681" s="24" t="s">
        <v>4716</v>
      </c>
      <c r="I681" s="21" t="s">
        <v>4717</v>
      </c>
      <c r="J681" s="24"/>
      <c r="K681" s="24" t="s">
        <v>4725</v>
      </c>
      <c r="L681" s="20" t="s">
        <v>4726</v>
      </c>
      <c r="M681" s="25" t="s">
        <v>4727</v>
      </c>
      <c r="N681" s="26" t="s">
        <v>28</v>
      </c>
      <c r="O681" s="24" t="s">
        <v>1433</v>
      </c>
      <c r="P681" s="24" t="s">
        <v>4721</v>
      </c>
      <c r="Q681" s="27"/>
      <c r="R681" s="27"/>
      <c r="S681" s="31" t="s">
        <v>4728</v>
      </c>
      <c r="T681" s="33" t="s">
        <v>4729</v>
      </c>
      <c r="U681" s="29" t="s">
        <v>4717</v>
      </c>
      <c r="V681" s="24" t="str">
        <f>iferror(VLOOKUP(A681,'tagging table'!A:G,7,0),"")</f>
        <v>Cashiers</v>
      </c>
    </row>
    <row r="682">
      <c r="A682" s="30">
        <v>9.31007202875E12</v>
      </c>
      <c r="B682" s="20" t="s">
        <v>4730</v>
      </c>
      <c r="C682" s="21">
        <v>0.24</v>
      </c>
      <c r="D682" s="21">
        <v>0.075</v>
      </c>
      <c r="E682" s="21">
        <v>0.035</v>
      </c>
      <c r="F682" s="22">
        <v>9.0</v>
      </c>
      <c r="G682" s="23"/>
      <c r="H682" s="24" t="s">
        <v>4731</v>
      </c>
      <c r="I682" s="21" t="s">
        <v>4732</v>
      </c>
      <c r="J682" s="21" t="s">
        <v>3171</v>
      </c>
      <c r="K682" s="24" t="s">
        <v>4733</v>
      </c>
      <c r="L682" s="20" t="s">
        <v>4734</v>
      </c>
      <c r="M682" s="25" t="s">
        <v>4735</v>
      </c>
      <c r="N682" s="26" t="s">
        <v>28</v>
      </c>
      <c r="O682" s="24" t="s">
        <v>2364</v>
      </c>
      <c r="P682" s="24" t="s">
        <v>2365</v>
      </c>
      <c r="Q682" s="27"/>
      <c r="R682" s="27"/>
      <c r="S682" s="28" t="s">
        <v>4736</v>
      </c>
      <c r="T682" s="8" t="s">
        <v>4737</v>
      </c>
      <c r="U682" s="29" t="s">
        <v>4738</v>
      </c>
      <c r="V682" s="24" t="str">
        <f>iferror(VLOOKUP(A682,'tagging table'!A:G,7,0),"")</f>
        <v>Waffles &amp; cookies</v>
      </c>
    </row>
    <row r="683">
      <c r="A683" s="30">
        <v>9.310072028743E12</v>
      </c>
      <c r="B683" s="20" t="s">
        <v>4739</v>
      </c>
      <c r="C683" s="21">
        <v>0.24</v>
      </c>
      <c r="D683" s="21">
        <v>0.075</v>
      </c>
      <c r="E683" s="21">
        <v>0.035</v>
      </c>
      <c r="F683" s="22">
        <v>9.0</v>
      </c>
      <c r="G683" s="23"/>
      <c r="H683" s="24" t="s">
        <v>4731</v>
      </c>
      <c r="I683" s="21" t="s">
        <v>4732</v>
      </c>
      <c r="J683" s="21" t="s">
        <v>3171</v>
      </c>
      <c r="K683" s="24" t="s">
        <v>4740</v>
      </c>
      <c r="L683" s="20" t="s">
        <v>4741</v>
      </c>
      <c r="M683" s="25" t="s">
        <v>4742</v>
      </c>
      <c r="N683" s="26" t="s">
        <v>28</v>
      </c>
      <c r="O683" s="24" t="s">
        <v>2364</v>
      </c>
      <c r="P683" s="24" t="s">
        <v>2365</v>
      </c>
      <c r="Q683" s="27"/>
      <c r="R683" s="27"/>
      <c r="S683" s="28" t="s">
        <v>4743</v>
      </c>
      <c r="T683" s="33" t="s">
        <v>4744</v>
      </c>
      <c r="U683" s="29" t="s">
        <v>4738</v>
      </c>
      <c r="V683" s="24" t="str">
        <f>iferror(VLOOKUP(A683,'tagging table'!A:G,7,0),"")</f>
        <v>Waffles &amp; cookies</v>
      </c>
    </row>
    <row r="684">
      <c r="A684" s="30">
        <v>4136130.0</v>
      </c>
      <c r="B684" s="20" t="s">
        <v>4745</v>
      </c>
      <c r="C684" s="21">
        <v>0.06</v>
      </c>
      <c r="D684" s="21">
        <v>0.17</v>
      </c>
      <c r="E684" s="21">
        <v>0.06</v>
      </c>
      <c r="F684" s="22">
        <v>5.0</v>
      </c>
      <c r="G684" s="23"/>
      <c r="H684" s="32" t="s">
        <v>57</v>
      </c>
      <c r="I684" s="21" t="s">
        <v>4746</v>
      </c>
      <c r="J684" s="24"/>
      <c r="K684" s="24" t="s">
        <v>4747</v>
      </c>
      <c r="L684" s="20" t="s">
        <v>4748</v>
      </c>
      <c r="M684" s="25" t="s">
        <v>4749</v>
      </c>
      <c r="N684" s="26" t="s">
        <v>28</v>
      </c>
      <c r="O684" s="24" t="s">
        <v>700</v>
      </c>
      <c r="P684" s="24" t="s">
        <v>1078</v>
      </c>
      <c r="Q684" s="27"/>
      <c r="R684" s="27"/>
      <c r="S684" s="28" t="s">
        <v>4750</v>
      </c>
      <c r="T684" s="8" t="s">
        <v>4751</v>
      </c>
      <c r="U684" s="29" t="s">
        <v>4746</v>
      </c>
      <c r="V684" s="24" t="str">
        <f>iferror(VLOOKUP(A684,'tagging table'!A:G,7,0),"")</f>
        <v>Dairy</v>
      </c>
    </row>
    <row r="685">
      <c r="A685" s="30">
        <v>52304.0</v>
      </c>
      <c r="B685" s="20" t="s">
        <v>4752</v>
      </c>
      <c r="C685" s="21">
        <v>0.06</v>
      </c>
      <c r="D685" s="21">
        <v>0.17</v>
      </c>
      <c r="E685" s="21">
        <v>0.07</v>
      </c>
      <c r="F685" s="22">
        <v>4.0</v>
      </c>
      <c r="G685" s="23"/>
      <c r="H685" s="32" t="s">
        <v>57</v>
      </c>
      <c r="I685" s="21" t="s">
        <v>4746</v>
      </c>
      <c r="J685" s="24"/>
      <c r="K685" s="24" t="s">
        <v>4753</v>
      </c>
      <c r="L685" s="20" t="s">
        <v>4754</v>
      </c>
      <c r="M685" s="25" t="s">
        <v>4755</v>
      </c>
      <c r="N685" s="26" t="s">
        <v>28</v>
      </c>
      <c r="O685" s="24" t="s">
        <v>700</v>
      </c>
      <c r="P685" s="24" t="s">
        <v>1078</v>
      </c>
      <c r="Q685" s="27"/>
      <c r="R685" s="27"/>
      <c r="S685" s="28" t="s">
        <v>4756</v>
      </c>
      <c r="T685" s="33" t="s">
        <v>4757</v>
      </c>
      <c r="U685" s="29" t="s">
        <v>4746</v>
      </c>
      <c r="V685" s="24" t="str">
        <f>iferror(VLOOKUP(A685,'tagging table'!A:G,7,0),"")</f>
        <v>Dairy</v>
      </c>
    </row>
    <row r="686">
      <c r="A686" s="30">
        <v>4136154.0</v>
      </c>
      <c r="B686" s="20" t="s">
        <v>4758</v>
      </c>
      <c r="C686" s="21">
        <v>0.06</v>
      </c>
      <c r="D686" s="21">
        <v>0.17</v>
      </c>
      <c r="E686" s="21">
        <v>0.06</v>
      </c>
      <c r="F686" s="22">
        <v>5.0</v>
      </c>
      <c r="G686" s="23"/>
      <c r="H686" s="32" t="s">
        <v>57</v>
      </c>
      <c r="I686" s="21" t="s">
        <v>4746</v>
      </c>
      <c r="J686" s="24"/>
      <c r="K686" s="24" t="s">
        <v>4759</v>
      </c>
      <c r="L686" s="20" t="s">
        <v>4760</v>
      </c>
      <c r="M686" s="25" t="s">
        <v>4761</v>
      </c>
      <c r="N686" s="26" t="s">
        <v>28</v>
      </c>
      <c r="O686" s="24" t="s">
        <v>700</v>
      </c>
      <c r="P686" s="24" t="s">
        <v>1078</v>
      </c>
      <c r="Q686" s="27"/>
      <c r="R686" s="27"/>
      <c r="S686" s="28" t="s">
        <v>4762</v>
      </c>
      <c r="T686" s="8" t="s">
        <v>4763</v>
      </c>
      <c r="U686" s="29" t="s">
        <v>4746</v>
      </c>
      <c r="V686" s="24" t="str">
        <f>iferror(VLOOKUP(A686,'tagging table'!A:G,7,0),"")</f>
        <v>Dairy</v>
      </c>
    </row>
    <row r="687">
      <c r="A687" s="30">
        <v>7.290112346537E12</v>
      </c>
      <c r="B687" s="20" t="s">
        <v>4764</v>
      </c>
      <c r="C687" s="21">
        <v>0.26</v>
      </c>
      <c r="D687" s="21">
        <v>0.09</v>
      </c>
      <c r="E687" s="21">
        <v>0.03</v>
      </c>
      <c r="F687" s="22">
        <v>10.0</v>
      </c>
      <c r="G687" s="23"/>
      <c r="H687" s="32" t="s">
        <v>3400</v>
      </c>
      <c r="I687" s="34" t="s">
        <v>3401</v>
      </c>
      <c r="J687" s="21" t="s">
        <v>1175</v>
      </c>
      <c r="K687" s="24" t="s">
        <v>4765</v>
      </c>
      <c r="L687" s="20" t="s">
        <v>4766</v>
      </c>
      <c r="M687" s="25" t="s">
        <v>4767</v>
      </c>
      <c r="N687" s="26" t="s">
        <v>28</v>
      </c>
      <c r="O687" s="24" t="s">
        <v>2364</v>
      </c>
      <c r="P687" s="24" t="s">
        <v>3164</v>
      </c>
      <c r="Q687" s="27"/>
      <c r="R687" s="27"/>
      <c r="S687" s="31" t="s">
        <v>4768</v>
      </c>
      <c r="T687" s="33" t="s">
        <v>4769</v>
      </c>
      <c r="U687" s="29" t="s">
        <v>4770</v>
      </c>
      <c r="V687" s="24" t="str">
        <f>iferror(VLOOKUP(A687,'tagging table'!A:G,7,0),"")</f>
        <v>Waffles &amp; cookies</v>
      </c>
    </row>
    <row r="688">
      <c r="A688" s="30">
        <v>7.290106658479E12</v>
      </c>
      <c r="B688" s="20" t="s">
        <v>4771</v>
      </c>
      <c r="C688" s="21">
        <v>0.16</v>
      </c>
      <c r="D688" s="21">
        <v>0.035</v>
      </c>
      <c r="E688" s="21">
        <v>0.02</v>
      </c>
      <c r="F688" s="22">
        <v>15.0</v>
      </c>
      <c r="G688" s="23"/>
      <c r="H688" s="32" t="s">
        <v>230</v>
      </c>
      <c r="I688" s="34" t="s">
        <v>4772</v>
      </c>
      <c r="J688" s="24"/>
      <c r="K688" s="24" t="s">
        <v>4773</v>
      </c>
      <c r="L688" s="20" t="s">
        <v>4774</v>
      </c>
      <c r="M688" s="25" t="s">
        <v>4775</v>
      </c>
      <c r="N688" s="26" t="s">
        <v>28</v>
      </c>
      <c r="O688" s="24" t="s">
        <v>501</v>
      </c>
      <c r="P688" s="24" t="s">
        <v>502</v>
      </c>
      <c r="Q688" s="27"/>
      <c r="R688" s="27"/>
      <c r="S688" s="31" t="s">
        <v>4776</v>
      </c>
      <c r="T688" s="33" t="s">
        <v>4777</v>
      </c>
      <c r="U688" s="29" t="s">
        <v>4772</v>
      </c>
      <c r="V688" s="24" t="str">
        <f>iferror(VLOOKUP(A688,'tagging table'!A:G,7,0),"")</f>
        <v>Cashiers</v>
      </c>
    </row>
    <row r="689">
      <c r="A689" s="30">
        <v>7.29000159452E12</v>
      </c>
      <c r="B689" s="20" t="s">
        <v>4778</v>
      </c>
      <c r="C689" s="21">
        <v>0.06</v>
      </c>
      <c r="D689" s="21">
        <v>0.228</v>
      </c>
      <c r="E689" s="21">
        <v>0.06</v>
      </c>
      <c r="F689" s="22">
        <v>5.0</v>
      </c>
      <c r="G689" s="23"/>
      <c r="H689" s="24" t="s">
        <v>4779</v>
      </c>
      <c r="I689" s="21" t="s">
        <v>4780</v>
      </c>
      <c r="J689" s="20" t="s">
        <v>532</v>
      </c>
      <c r="K689" s="24" t="s">
        <v>4781</v>
      </c>
      <c r="L689" s="20" t="s">
        <v>4782</v>
      </c>
      <c r="M689" s="25" t="s">
        <v>4783</v>
      </c>
      <c r="N689" s="26" t="s">
        <v>37</v>
      </c>
      <c r="O689" s="24" t="s">
        <v>365</v>
      </c>
      <c r="P689" s="24" t="s">
        <v>536</v>
      </c>
      <c r="Q689" s="27"/>
      <c r="R689" s="27"/>
      <c r="S689" s="28" t="s">
        <v>4784</v>
      </c>
      <c r="T689" s="8" t="s">
        <v>4785</v>
      </c>
      <c r="U689" s="29" t="e">
        <v>#N/A</v>
      </c>
      <c r="V689" s="21" t="s">
        <v>573</v>
      </c>
    </row>
    <row r="690">
      <c r="A690" s="30">
        <v>7.290001594575E12</v>
      </c>
      <c r="B690" s="20" t="s">
        <v>4786</v>
      </c>
      <c r="C690" s="21">
        <v>0.065</v>
      </c>
      <c r="D690" s="21">
        <v>0.17</v>
      </c>
      <c r="E690" s="21">
        <v>0.06</v>
      </c>
      <c r="F690" s="22">
        <v>5.0</v>
      </c>
      <c r="G690" s="23"/>
      <c r="H690" s="24" t="s">
        <v>4779</v>
      </c>
      <c r="I690" s="21" t="s">
        <v>4780</v>
      </c>
      <c r="J690" s="20" t="s">
        <v>532</v>
      </c>
      <c r="K690" s="24" t="s">
        <v>4787</v>
      </c>
      <c r="L690" s="20" t="s">
        <v>4788</v>
      </c>
      <c r="M690" s="25" t="s">
        <v>4789</v>
      </c>
      <c r="N690" s="26" t="s">
        <v>37</v>
      </c>
      <c r="O690" s="24" t="s">
        <v>365</v>
      </c>
      <c r="P690" s="24" t="s">
        <v>543</v>
      </c>
      <c r="Q690" s="27"/>
      <c r="R690" s="27"/>
      <c r="S690" s="31" t="s">
        <v>4790</v>
      </c>
      <c r="T690" s="33" t="s">
        <v>4791</v>
      </c>
      <c r="U690" s="29" t="e">
        <v>#N/A</v>
      </c>
      <c r="V690" s="21" t="s">
        <v>573</v>
      </c>
    </row>
    <row r="691">
      <c r="A691" s="30">
        <v>7.2918388E7</v>
      </c>
      <c r="B691" s="20" t="s">
        <v>4792</v>
      </c>
      <c r="C691" s="21">
        <v>0.12</v>
      </c>
      <c r="D691" s="21">
        <v>0.035</v>
      </c>
      <c r="E691" s="21">
        <v>0.02</v>
      </c>
      <c r="F691" s="22">
        <v>15.0</v>
      </c>
      <c r="G691" s="23"/>
      <c r="H691" s="24" t="s">
        <v>4793</v>
      </c>
      <c r="I691" s="21" t="s">
        <v>4794</v>
      </c>
      <c r="J691" s="24"/>
      <c r="K691" s="24" t="s">
        <v>4795</v>
      </c>
      <c r="L691" s="20" t="s">
        <v>4796</v>
      </c>
      <c r="M691" s="25" t="s">
        <v>4797</v>
      </c>
      <c r="N691" s="26" t="s">
        <v>28</v>
      </c>
      <c r="O691" s="24" t="s">
        <v>501</v>
      </c>
      <c r="P691" s="24" t="s">
        <v>502</v>
      </c>
      <c r="Q691" s="27"/>
      <c r="R691" s="27"/>
      <c r="S691" s="31" t="s">
        <v>4798</v>
      </c>
      <c r="T691" s="33" t="s">
        <v>4799</v>
      </c>
      <c r="U691" s="29" t="s">
        <v>4794</v>
      </c>
      <c r="V691" s="24" t="str">
        <f>iferror(VLOOKUP(A691,'tagging table'!A:G,7,0),"")</f>
        <v>Cashiers</v>
      </c>
    </row>
    <row r="692">
      <c r="A692" s="30">
        <v>5.000159459228E12</v>
      </c>
      <c r="B692" s="20" t="s">
        <v>4800</v>
      </c>
      <c r="C692" s="21">
        <v>0.12</v>
      </c>
      <c r="D692" s="21">
        <v>0.045</v>
      </c>
      <c r="E692" s="21">
        <v>0.02</v>
      </c>
      <c r="F692" s="22">
        <v>15.0</v>
      </c>
      <c r="G692" s="23"/>
      <c r="H692" s="24" t="s">
        <v>4801</v>
      </c>
      <c r="I692" s="21" t="s">
        <v>4802</v>
      </c>
      <c r="J692" s="24"/>
      <c r="K692" s="24" t="s">
        <v>4803</v>
      </c>
      <c r="L692" s="20" t="s">
        <v>4804</v>
      </c>
      <c r="M692" s="25" t="s">
        <v>4805</v>
      </c>
      <c r="N692" s="26" t="s">
        <v>28</v>
      </c>
      <c r="O692" s="24" t="s">
        <v>501</v>
      </c>
      <c r="P692" s="24" t="s">
        <v>502</v>
      </c>
      <c r="Q692" s="27"/>
      <c r="R692" s="27"/>
      <c r="S692" s="31" t="s">
        <v>4806</v>
      </c>
      <c r="T692" s="8" t="s">
        <v>4807</v>
      </c>
      <c r="U692" s="29" t="s">
        <v>4808</v>
      </c>
      <c r="V692" s="24" t="str">
        <f>iferror(VLOOKUP(A692,'tagging table'!A:G,7,0),"")</f>
        <v>Cashiers</v>
      </c>
    </row>
    <row r="693">
      <c r="A693" s="30">
        <v>7.290018194683E12</v>
      </c>
      <c r="B693" s="20" t="s">
        <v>4809</v>
      </c>
      <c r="C693" s="21">
        <v>0.09</v>
      </c>
      <c r="D693" s="21">
        <v>0.15</v>
      </c>
      <c r="E693" s="21">
        <v>0.09</v>
      </c>
      <c r="F693" s="22">
        <v>3.0</v>
      </c>
      <c r="G693" s="23"/>
      <c r="H693" s="24" t="s">
        <v>4810</v>
      </c>
      <c r="I693" s="21" t="s">
        <v>4811</v>
      </c>
      <c r="J693" s="24"/>
      <c r="K693" s="24" t="s">
        <v>4812</v>
      </c>
      <c r="L693" s="20" t="s">
        <v>4813</v>
      </c>
      <c r="M693" s="25" t="s">
        <v>4814</v>
      </c>
      <c r="N693" s="26" t="s">
        <v>28</v>
      </c>
      <c r="O693" s="24" t="s">
        <v>4815</v>
      </c>
      <c r="P693" s="24" t="s">
        <v>4816</v>
      </c>
      <c r="Q693" s="27"/>
      <c r="R693" s="27"/>
      <c r="S693" s="31" t="s">
        <v>4817</v>
      </c>
      <c r="T693" s="33" t="s">
        <v>4818</v>
      </c>
      <c r="U693" s="29" t="s">
        <v>4819</v>
      </c>
      <c r="V693" s="24" t="str">
        <f>iferror(VLOOKUP(A693,'tagging table'!A:G,7,0),"")</f>
        <v>Waffles &amp; cookies</v>
      </c>
    </row>
    <row r="694">
      <c r="A694" s="30">
        <v>8.690526009216E12</v>
      </c>
      <c r="B694" s="20" t="s">
        <v>4820</v>
      </c>
      <c r="C694" s="21">
        <v>0.04</v>
      </c>
      <c r="D694" s="21">
        <v>0.115</v>
      </c>
      <c r="E694" s="21">
        <v>0.03</v>
      </c>
      <c r="F694" s="22">
        <v>10.0</v>
      </c>
      <c r="G694" s="23"/>
      <c r="H694" s="24" t="s">
        <v>4821</v>
      </c>
      <c r="I694" s="21" t="s">
        <v>4822</v>
      </c>
      <c r="J694" s="24"/>
      <c r="K694" s="24" t="s">
        <v>4823</v>
      </c>
      <c r="L694" s="20" t="s">
        <v>4824</v>
      </c>
      <c r="M694" s="25" t="s">
        <v>4825</v>
      </c>
      <c r="N694" s="26" t="s">
        <v>28</v>
      </c>
      <c r="O694" s="24" t="s">
        <v>501</v>
      </c>
      <c r="P694" s="24" t="s">
        <v>502</v>
      </c>
      <c r="Q694" s="27"/>
      <c r="R694" s="27"/>
      <c r="S694" s="31" t="s">
        <v>4826</v>
      </c>
      <c r="T694" s="33" t="s">
        <v>4827</v>
      </c>
      <c r="U694" s="29" t="s">
        <v>4828</v>
      </c>
      <c r="V694" s="24" t="str">
        <f>iferror(VLOOKUP(A694,'tagging table'!A:G,7,0),"")</f>
        <v>Cashiers</v>
      </c>
    </row>
    <row r="695">
      <c r="A695" s="30">
        <v>8.690526009292E12</v>
      </c>
      <c r="B695" s="20" t="s">
        <v>4829</v>
      </c>
      <c r="C695" s="21">
        <v>0.11</v>
      </c>
      <c r="D695" s="21">
        <v>0.045</v>
      </c>
      <c r="E695" s="21">
        <v>0.02</v>
      </c>
      <c r="F695" s="22">
        <v>15.0</v>
      </c>
      <c r="G695" s="23"/>
      <c r="H695" s="24" t="s">
        <v>4821</v>
      </c>
      <c r="I695" s="21" t="s">
        <v>4822</v>
      </c>
      <c r="J695" s="24"/>
      <c r="K695" s="24" t="s">
        <v>4830</v>
      </c>
      <c r="L695" s="20" t="s">
        <v>4831</v>
      </c>
      <c r="M695" s="25" t="s">
        <v>4832</v>
      </c>
      <c r="N695" s="26" t="s">
        <v>28</v>
      </c>
      <c r="O695" s="24" t="s">
        <v>501</v>
      </c>
      <c r="P695" s="24" t="s">
        <v>502</v>
      </c>
      <c r="Q695" s="27"/>
      <c r="R695" s="27"/>
      <c r="S695" s="31" t="s">
        <v>4833</v>
      </c>
      <c r="T695" s="33" t="s">
        <v>4834</v>
      </c>
      <c r="U695" s="29" t="s">
        <v>4828</v>
      </c>
      <c r="V695" s="24" t="str">
        <f>iferror(VLOOKUP(A695,'tagging table'!A:G,7,0),"")</f>
        <v>Cashiers</v>
      </c>
    </row>
    <row r="696">
      <c r="A696" s="30">
        <v>8.690526009315E12</v>
      </c>
      <c r="B696" s="20" t="s">
        <v>4835</v>
      </c>
      <c r="C696" s="21">
        <v>0.085</v>
      </c>
      <c r="D696" s="21">
        <v>0.087</v>
      </c>
      <c r="E696" s="21">
        <v>0.01</v>
      </c>
      <c r="F696" s="22">
        <v>30.0</v>
      </c>
      <c r="G696" s="23"/>
      <c r="H696" s="24" t="s">
        <v>4821</v>
      </c>
      <c r="I696" s="21" t="s">
        <v>4822</v>
      </c>
      <c r="J696" s="21" t="s">
        <v>3171</v>
      </c>
      <c r="K696" s="24" t="s">
        <v>4836</v>
      </c>
      <c r="L696" s="20" t="s">
        <v>4837</v>
      </c>
      <c r="M696" s="25" t="s">
        <v>4838</v>
      </c>
      <c r="N696" s="26" t="s">
        <v>28</v>
      </c>
      <c r="O696" s="24" t="s">
        <v>1484</v>
      </c>
      <c r="P696" s="24" t="s">
        <v>1498</v>
      </c>
      <c r="Q696" s="27"/>
      <c r="R696" s="27"/>
      <c r="S696" s="28" t="s">
        <v>4839</v>
      </c>
      <c r="T696" s="8" t="s">
        <v>4840</v>
      </c>
      <c r="U696" s="29" t="s">
        <v>4841</v>
      </c>
      <c r="V696" s="24" t="str">
        <f>iferror(VLOOKUP(A696,'tagging table'!A:G,7,0),"")</f>
        <v>Sweets</v>
      </c>
    </row>
    <row r="697">
      <c r="A697" s="30">
        <v>8.690526009339E12</v>
      </c>
      <c r="B697" s="20" t="s">
        <v>4842</v>
      </c>
      <c r="C697" s="21">
        <v>0.085</v>
      </c>
      <c r="D697" s="21">
        <v>0.087</v>
      </c>
      <c r="E697" s="21">
        <v>0.01</v>
      </c>
      <c r="F697" s="22">
        <v>30.0</v>
      </c>
      <c r="G697" s="23"/>
      <c r="H697" s="24" t="s">
        <v>4821</v>
      </c>
      <c r="I697" s="21" t="s">
        <v>4822</v>
      </c>
      <c r="J697" s="21" t="s">
        <v>3171</v>
      </c>
      <c r="K697" s="24" t="s">
        <v>4843</v>
      </c>
      <c r="L697" s="20" t="s">
        <v>4844</v>
      </c>
      <c r="M697" s="25" t="s">
        <v>4845</v>
      </c>
      <c r="N697" s="26" t="s">
        <v>28</v>
      </c>
      <c r="O697" s="24" t="s">
        <v>1484</v>
      </c>
      <c r="P697" s="24" t="s">
        <v>1498</v>
      </c>
      <c r="Q697" s="27"/>
      <c r="R697" s="27"/>
      <c r="S697" s="28" t="s">
        <v>4846</v>
      </c>
      <c r="T697" s="8" t="s">
        <v>4847</v>
      </c>
      <c r="U697" s="29" t="s">
        <v>4841</v>
      </c>
      <c r="V697" s="24" t="str">
        <f>iferror(VLOOKUP(A697,'tagging table'!A:G,7,0),"")</f>
        <v>Sweets</v>
      </c>
    </row>
    <row r="698">
      <c r="A698" s="30">
        <v>8.690526019154E12</v>
      </c>
      <c r="B698" s="20" t="s">
        <v>4848</v>
      </c>
      <c r="C698" s="21">
        <v>0.245</v>
      </c>
      <c r="D698" s="21">
        <v>0.085</v>
      </c>
      <c r="E698" s="21">
        <v>0.02</v>
      </c>
      <c r="F698" s="22">
        <v>15.0</v>
      </c>
      <c r="G698" s="23"/>
      <c r="H698" s="24" t="s">
        <v>4821</v>
      </c>
      <c r="I698" s="21" t="s">
        <v>4822</v>
      </c>
      <c r="J698" s="21" t="s">
        <v>3171</v>
      </c>
      <c r="K698" s="24" t="s">
        <v>4849</v>
      </c>
      <c r="L698" s="20" t="s">
        <v>4850</v>
      </c>
      <c r="M698" s="25" t="s">
        <v>4851</v>
      </c>
      <c r="N698" s="26" t="s">
        <v>28</v>
      </c>
      <c r="O698" s="24" t="s">
        <v>185</v>
      </c>
      <c r="P698" s="24" t="s">
        <v>195</v>
      </c>
      <c r="Q698" s="27"/>
      <c r="R698" s="27"/>
      <c r="S698" s="28" t="s">
        <v>4852</v>
      </c>
      <c r="T698" s="8" t="s">
        <v>4853</v>
      </c>
      <c r="U698" s="29" t="s">
        <v>4822</v>
      </c>
      <c r="V698" s="24" t="str">
        <f>iferror(VLOOKUP(A698,'tagging table'!A:G,7,0),"")</f>
        <v>Waffles &amp; cookies</v>
      </c>
    </row>
    <row r="699">
      <c r="A699" s="30">
        <v>8.690526019178E12</v>
      </c>
      <c r="B699" s="20" t="s">
        <v>4854</v>
      </c>
      <c r="C699" s="21">
        <v>0.245</v>
      </c>
      <c r="D699" s="21">
        <v>0.085</v>
      </c>
      <c r="E699" s="21">
        <v>0.02</v>
      </c>
      <c r="F699" s="22">
        <v>15.0</v>
      </c>
      <c r="G699" s="23"/>
      <c r="H699" s="24" t="s">
        <v>4821</v>
      </c>
      <c r="I699" s="21" t="s">
        <v>4822</v>
      </c>
      <c r="J699" s="21" t="s">
        <v>3171</v>
      </c>
      <c r="K699" s="24" t="s">
        <v>4855</v>
      </c>
      <c r="L699" s="20" t="s">
        <v>4856</v>
      </c>
      <c r="M699" s="25" t="s">
        <v>4857</v>
      </c>
      <c r="N699" s="26" t="s">
        <v>28</v>
      </c>
      <c r="O699" s="24" t="s">
        <v>185</v>
      </c>
      <c r="P699" s="24" t="s">
        <v>195</v>
      </c>
      <c r="Q699" s="27"/>
      <c r="R699" s="27"/>
      <c r="S699" s="28" t="s">
        <v>4858</v>
      </c>
      <c r="T699" s="8" t="s">
        <v>4859</v>
      </c>
      <c r="U699" s="29" t="s">
        <v>4822</v>
      </c>
      <c r="V699" s="24" t="str">
        <f>iferror(VLOOKUP(A699,'tagging table'!A:G,7,0),"")</f>
        <v>Waffles &amp; cookies</v>
      </c>
    </row>
    <row r="700">
      <c r="A700" s="30">
        <v>8.690526009179E12</v>
      </c>
      <c r="B700" s="20" t="s">
        <v>4860</v>
      </c>
      <c r="C700" s="21">
        <v>0.11</v>
      </c>
      <c r="D700" s="21">
        <v>0.055</v>
      </c>
      <c r="E700" s="21">
        <v>0.02</v>
      </c>
      <c r="F700" s="22">
        <v>15.0</v>
      </c>
      <c r="G700" s="23"/>
      <c r="H700" s="24" t="s">
        <v>4821</v>
      </c>
      <c r="I700" s="21" t="s">
        <v>4822</v>
      </c>
      <c r="J700" s="24"/>
      <c r="K700" s="24" t="s">
        <v>4861</v>
      </c>
      <c r="L700" s="20" t="s">
        <v>4862</v>
      </c>
      <c r="M700" s="25" t="s">
        <v>4863</v>
      </c>
      <c r="N700" s="26" t="s">
        <v>28</v>
      </c>
      <c r="O700" s="24" t="s">
        <v>501</v>
      </c>
      <c r="P700" s="24" t="s">
        <v>502</v>
      </c>
      <c r="Q700" s="27"/>
      <c r="R700" s="27"/>
      <c r="S700" s="28" t="s">
        <v>4864</v>
      </c>
      <c r="T700" s="8" t="s">
        <v>4865</v>
      </c>
      <c r="U700" s="29" t="s">
        <v>4828</v>
      </c>
      <c r="V700" s="24" t="str">
        <f>iferror(VLOOKUP(A700,'tagging table'!A:G,7,0),"")</f>
        <v>Cashiers</v>
      </c>
    </row>
    <row r="701">
      <c r="A701" s="30">
        <v>4.014400914696E12</v>
      </c>
      <c r="B701" s="20" t="s">
        <v>4866</v>
      </c>
      <c r="C701" s="21">
        <v>0.118</v>
      </c>
      <c r="D701" s="21">
        <v>0.185</v>
      </c>
      <c r="E701" s="21">
        <v>0.023</v>
      </c>
      <c r="F701" s="22">
        <v>13.0</v>
      </c>
      <c r="G701" s="23"/>
      <c r="H701" s="24" t="s">
        <v>4867</v>
      </c>
      <c r="I701" s="21" t="s">
        <v>4868</v>
      </c>
      <c r="J701" s="21" t="s">
        <v>1446</v>
      </c>
      <c r="K701" s="24" t="s">
        <v>4869</v>
      </c>
      <c r="L701" s="20" t="s">
        <v>4870</v>
      </c>
      <c r="M701" s="25" t="s">
        <v>4871</v>
      </c>
      <c r="N701" s="26" t="s">
        <v>28</v>
      </c>
      <c r="O701" s="24" t="s">
        <v>2611</v>
      </c>
      <c r="P701" s="24" t="s">
        <v>2886</v>
      </c>
      <c r="Q701" s="27"/>
      <c r="R701" s="27"/>
      <c r="S701" s="28" t="s">
        <v>4872</v>
      </c>
      <c r="T701" s="8" t="s">
        <v>4873</v>
      </c>
      <c r="U701" s="29" t="s">
        <v>4868</v>
      </c>
      <c r="V701" s="24" t="str">
        <f>iferror(VLOOKUP(A701,'tagging table'!A:G,7,0),"")</f>
        <v>Sweets</v>
      </c>
    </row>
    <row r="702">
      <c r="A702" s="30">
        <v>4.014400925319E12</v>
      </c>
      <c r="B702" s="20" t="s">
        <v>4874</v>
      </c>
      <c r="C702" s="21">
        <v>0.145</v>
      </c>
      <c r="D702" s="21">
        <v>0.215</v>
      </c>
      <c r="E702" s="21">
        <v>0.06</v>
      </c>
      <c r="F702" s="22">
        <v>5.0</v>
      </c>
      <c r="G702" s="23"/>
      <c r="H702" s="24" t="s">
        <v>4867</v>
      </c>
      <c r="I702" s="21" t="s">
        <v>4868</v>
      </c>
      <c r="J702" s="24"/>
      <c r="K702" s="24" t="s">
        <v>4875</v>
      </c>
      <c r="L702" s="20" t="s">
        <v>4876</v>
      </c>
      <c r="M702" s="25" t="s">
        <v>4877</v>
      </c>
      <c r="N702" s="26" t="s">
        <v>28</v>
      </c>
      <c r="O702" s="24" t="s">
        <v>109</v>
      </c>
      <c r="P702" s="24" t="s">
        <v>3526</v>
      </c>
      <c r="Q702" s="27"/>
      <c r="R702" s="27"/>
      <c r="S702" s="28" t="s">
        <v>4878</v>
      </c>
      <c r="T702" s="8" t="s">
        <v>4877</v>
      </c>
      <c r="U702" s="29" t="s">
        <v>4868</v>
      </c>
      <c r="V702" s="21" t="s">
        <v>113</v>
      </c>
    </row>
    <row r="703">
      <c r="A703" s="30">
        <v>48185.0</v>
      </c>
      <c r="B703" s="20" t="s">
        <v>4879</v>
      </c>
      <c r="C703" s="21">
        <v>0.09</v>
      </c>
      <c r="D703" s="21">
        <v>0.09</v>
      </c>
      <c r="E703" s="21">
        <v>0.08</v>
      </c>
      <c r="F703" s="22">
        <v>4.0</v>
      </c>
      <c r="G703" s="23"/>
      <c r="H703" s="32" t="s">
        <v>57</v>
      </c>
      <c r="I703" s="21" t="s">
        <v>4880</v>
      </c>
      <c r="J703" s="24"/>
      <c r="K703" s="24" t="s">
        <v>4881</v>
      </c>
      <c r="L703" s="20" t="s">
        <v>4882</v>
      </c>
      <c r="M703" s="25" t="s">
        <v>4883</v>
      </c>
      <c r="N703" s="26" t="s">
        <v>28</v>
      </c>
      <c r="O703" s="24" t="s">
        <v>4279</v>
      </c>
      <c r="P703" s="24" t="s">
        <v>4280</v>
      </c>
      <c r="Q703" s="27"/>
      <c r="R703" s="27"/>
      <c r="S703" s="28" t="s">
        <v>4884</v>
      </c>
      <c r="T703" s="8" t="s">
        <v>4885</v>
      </c>
      <c r="U703" s="29" t="s">
        <v>4880</v>
      </c>
      <c r="V703" s="24" t="str">
        <f>iferror(VLOOKUP(A703,'tagging table'!A:G,7,0),"")</f>
        <v>Dairy</v>
      </c>
    </row>
    <row r="704">
      <c r="A704" s="30">
        <v>7.29000034526E12</v>
      </c>
      <c r="B704" s="20" t="s">
        <v>4886</v>
      </c>
      <c r="C704" s="21">
        <v>0.145</v>
      </c>
      <c r="D704" s="21">
        <v>0.07</v>
      </c>
      <c r="E704" s="21">
        <v>0.065</v>
      </c>
      <c r="F704" s="22">
        <v>5.0</v>
      </c>
      <c r="G704" s="23"/>
      <c r="H704" s="24" t="s">
        <v>4887</v>
      </c>
      <c r="I704" s="21" t="s">
        <v>4888</v>
      </c>
      <c r="J704" s="24"/>
      <c r="K704" s="24" t="s">
        <v>4889</v>
      </c>
      <c r="L704" s="20" t="s">
        <v>4890</v>
      </c>
      <c r="M704" s="25" t="s">
        <v>4891</v>
      </c>
      <c r="N704" s="26" t="s">
        <v>37</v>
      </c>
      <c r="O704" s="24" t="s">
        <v>4892</v>
      </c>
      <c r="P704" s="24" t="s">
        <v>4892</v>
      </c>
      <c r="Q704" s="27"/>
      <c r="R704" s="27"/>
      <c r="S704" s="28" t="s">
        <v>4893</v>
      </c>
      <c r="T704" s="8" t="s">
        <v>4894</v>
      </c>
      <c r="U704" s="29" t="e">
        <v>#N/A</v>
      </c>
      <c r="V704" s="21" t="s">
        <v>55</v>
      </c>
    </row>
    <row r="705">
      <c r="A705" s="30">
        <v>7.290000347752E12</v>
      </c>
      <c r="B705" s="20" t="s">
        <v>4895</v>
      </c>
      <c r="C705" s="21">
        <v>0.144</v>
      </c>
      <c r="D705" s="21">
        <v>0.0685</v>
      </c>
      <c r="E705" s="21">
        <v>0.064</v>
      </c>
      <c r="F705" s="22">
        <v>5.0</v>
      </c>
      <c r="G705" s="23"/>
      <c r="H705" s="24" t="s">
        <v>4887</v>
      </c>
      <c r="I705" s="21" t="s">
        <v>4896</v>
      </c>
      <c r="J705" s="24"/>
      <c r="K705" s="24" t="s">
        <v>4897</v>
      </c>
      <c r="L705" s="20" t="s">
        <v>4898</v>
      </c>
      <c r="M705" s="25" t="s">
        <v>4899</v>
      </c>
      <c r="N705" s="26" t="s">
        <v>37</v>
      </c>
      <c r="O705" s="24" t="s">
        <v>4892</v>
      </c>
      <c r="P705" s="24" t="s">
        <v>4892</v>
      </c>
      <c r="Q705" s="27"/>
      <c r="R705" s="27"/>
      <c r="S705" s="28" t="s">
        <v>4900</v>
      </c>
      <c r="T705" s="8" t="s">
        <v>4901</v>
      </c>
      <c r="U705" s="29" t="e">
        <v>#N/A</v>
      </c>
      <c r="V705" s="21" t="s">
        <v>55</v>
      </c>
    </row>
    <row r="706">
      <c r="A706" s="30">
        <v>7.290000347738E12</v>
      </c>
      <c r="B706" s="20" t="s">
        <v>4902</v>
      </c>
      <c r="C706" s="21">
        <v>0.068</v>
      </c>
      <c r="D706" s="21">
        <v>0.144</v>
      </c>
      <c r="E706" s="21">
        <v>0.064</v>
      </c>
      <c r="F706" s="22">
        <v>5.0</v>
      </c>
      <c r="G706" s="23"/>
      <c r="H706" s="24" t="s">
        <v>4887</v>
      </c>
      <c r="I706" s="21" t="s">
        <v>4903</v>
      </c>
      <c r="J706" s="24"/>
      <c r="K706" s="24" t="s">
        <v>4904</v>
      </c>
      <c r="L706" s="20" t="s">
        <v>4905</v>
      </c>
      <c r="M706" s="25" t="s">
        <v>4906</v>
      </c>
      <c r="N706" s="26" t="s">
        <v>37</v>
      </c>
      <c r="O706" s="24" t="s">
        <v>4892</v>
      </c>
      <c r="P706" s="24" t="s">
        <v>4892</v>
      </c>
      <c r="Q706" s="27"/>
      <c r="R706" s="27"/>
      <c r="S706" s="28" t="s">
        <v>4907</v>
      </c>
      <c r="T706" s="8" t="s">
        <v>4908</v>
      </c>
      <c r="U706" s="29" t="e">
        <v>#N/A</v>
      </c>
      <c r="V706" s="21" t="s">
        <v>55</v>
      </c>
    </row>
    <row r="707">
      <c r="A707" s="30">
        <v>7.290013585899E12</v>
      </c>
      <c r="B707" s="20" t="s">
        <v>4909</v>
      </c>
      <c r="C707" s="21">
        <v>0.073</v>
      </c>
      <c r="D707" s="21">
        <v>0.195</v>
      </c>
      <c r="E707" s="21">
        <v>0.057</v>
      </c>
      <c r="F707" s="22">
        <v>5.0</v>
      </c>
      <c r="G707" s="23"/>
      <c r="H707" s="24" t="s">
        <v>4887</v>
      </c>
      <c r="I707" s="21" t="s">
        <v>4910</v>
      </c>
      <c r="J707" s="20" t="s">
        <v>145</v>
      </c>
      <c r="K707" s="24" t="s">
        <v>4911</v>
      </c>
      <c r="L707" s="20" t="s">
        <v>4912</v>
      </c>
      <c r="M707" s="25" t="s">
        <v>4913</v>
      </c>
      <c r="N707" s="26" t="s">
        <v>28</v>
      </c>
      <c r="O707" s="24" t="s">
        <v>149</v>
      </c>
      <c r="P707" s="24" t="s">
        <v>150</v>
      </c>
      <c r="Q707" s="27"/>
      <c r="R707" s="27"/>
      <c r="S707" s="28" t="s">
        <v>4914</v>
      </c>
      <c r="T707" s="8" t="s">
        <v>4915</v>
      </c>
      <c r="U707" s="29" t="s">
        <v>4910</v>
      </c>
      <c r="V707" s="24" t="str">
        <f>iferror(VLOOKUP(A707,'tagging table'!A:G,7,0),"")</f>
        <v>Drinks</v>
      </c>
    </row>
    <row r="708">
      <c r="A708" s="30">
        <v>7.290013586285E12</v>
      </c>
      <c r="B708" s="20" t="s">
        <v>4916</v>
      </c>
      <c r="C708" s="21">
        <v>0.073</v>
      </c>
      <c r="D708" s="21">
        <v>0.195</v>
      </c>
      <c r="E708" s="21">
        <v>0.057</v>
      </c>
      <c r="F708" s="22">
        <v>5.0</v>
      </c>
      <c r="G708" s="23"/>
      <c r="H708" s="24" t="s">
        <v>4887</v>
      </c>
      <c r="I708" s="21" t="s">
        <v>4910</v>
      </c>
      <c r="J708" s="20" t="s">
        <v>145</v>
      </c>
      <c r="K708" s="24" t="s">
        <v>4917</v>
      </c>
      <c r="L708" s="20" t="s">
        <v>4918</v>
      </c>
      <c r="M708" s="25" t="s">
        <v>4919</v>
      </c>
      <c r="N708" s="26" t="s">
        <v>28</v>
      </c>
      <c r="O708" s="24" t="s">
        <v>149</v>
      </c>
      <c r="P708" s="24" t="s">
        <v>150</v>
      </c>
      <c r="Q708" s="27"/>
      <c r="R708" s="27"/>
      <c r="S708" s="28" t="s">
        <v>4920</v>
      </c>
      <c r="T708" s="8" t="s">
        <v>4921</v>
      </c>
      <c r="U708" s="29" t="s">
        <v>4910</v>
      </c>
      <c r="V708" s="24" t="str">
        <f>iferror(VLOOKUP(A708,'tagging table'!A:G,7,0),"")</f>
        <v>Drinks</v>
      </c>
    </row>
    <row r="709">
      <c r="A709" s="30">
        <v>5.906485301012E12</v>
      </c>
      <c r="B709" s="20" t="s">
        <v>4922</v>
      </c>
      <c r="C709" s="21">
        <v>0.053</v>
      </c>
      <c r="D709" s="21">
        <v>0.134</v>
      </c>
      <c r="E709" s="21">
        <v>0.053</v>
      </c>
      <c r="F709" s="22">
        <v>6.0</v>
      </c>
      <c r="G709" s="23"/>
      <c r="H709" s="20" t="s">
        <v>4923</v>
      </c>
      <c r="I709" s="21" t="s">
        <v>4923</v>
      </c>
      <c r="J709" s="20" t="s">
        <v>4923</v>
      </c>
      <c r="K709" s="24" t="s">
        <v>4924</v>
      </c>
      <c r="L709" s="20" t="s">
        <v>4925</v>
      </c>
      <c r="M709" s="25" t="s">
        <v>4926</v>
      </c>
      <c r="N709" s="26" t="s">
        <v>28</v>
      </c>
      <c r="O709" s="24" t="s">
        <v>340</v>
      </c>
      <c r="P709" s="24" t="s">
        <v>449</v>
      </c>
      <c r="Q709" s="27"/>
      <c r="R709" s="27"/>
      <c r="S709" s="31" t="s">
        <v>4927</v>
      </c>
      <c r="T709" s="33" t="s">
        <v>4928</v>
      </c>
      <c r="U709" s="29" t="s">
        <v>4923</v>
      </c>
      <c r="V709" s="24" t="str">
        <f>VLOOKUP(A709,'tagging table'!A:G,7,0)</f>
        <v>Drinks</v>
      </c>
    </row>
    <row r="710">
      <c r="A710" s="30">
        <v>7.290000135113E12</v>
      </c>
      <c r="B710" s="20" t="s">
        <v>4929</v>
      </c>
      <c r="C710" s="21">
        <v>0.053</v>
      </c>
      <c r="D710" s="21">
        <v>0.134</v>
      </c>
      <c r="E710" s="21">
        <v>0.053</v>
      </c>
      <c r="F710" s="22">
        <v>6.0</v>
      </c>
      <c r="G710" s="23"/>
      <c r="H710" s="20" t="s">
        <v>4930</v>
      </c>
      <c r="I710" s="21" t="s">
        <v>4930</v>
      </c>
      <c r="J710" s="20" t="s">
        <v>4923</v>
      </c>
      <c r="K710" s="24" t="s">
        <v>4931</v>
      </c>
      <c r="L710" s="20" t="s">
        <v>4932</v>
      </c>
      <c r="M710" s="25" t="s">
        <v>4933</v>
      </c>
      <c r="N710" s="26" t="s">
        <v>28</v>
      </c>
      <c r="O710" s="24" t="s">
        <v>340</v>
      </c>
      <c r="P710" s="24" t="s">
        <v>449</v>
      </c>
      <c r="Q710" s="27"/>
      <c r="R710" s="27"/>
      <c r="S710" s="31" t="s">
        <v>4934</v>
      </c>
      <c r="T710" s="33" t="s">
        <v>4935</v>
      </c>
      <c r="U710" s="29" t="s">
        <v>4923</v>
      </c>
      <c r="V710" s="24" t="str">
        <f>VLOOKUP(A710,'tagging table'!A:G,7,0)</f>
        <v>Drinks</v>
      </c>
    </row>
    <row r="711">
      <c r="A711" s="30">
        <v>7.290000135045E12</v>
      </c>
      <c r="B711" s="20" t="s">
        <v>4936</v>
      </c>
      <c r="C711" s="21">
        <v>0.053</v>
      </c>
      <c r="D711" s="21">
        <v>0.134</v>
      </c>
      <c r="E711" s="21">
        <v>0.053</v>
      </c>
      <c r="F711" s="22">
        <v>6.0</v>
      </c>
      <c r="G711" s="23"/>
      <c r="H711" s="20" t="s">
        <v>4930</v>
      </c>
      <c r="I711" s="21" t="s">
        <v>4930</v>
      </c>
      <c r="J711" s="20" t="s">
        <v>4923</v>
      </c>
      <c r="K711" s="24" t="s">
        <v>4937</v>
      </c>
      <c r="L711" s="20" t="s">
        <v>4938</v>
      </c>
      <c r="M711" s="25" t="s">
        <v>4939</v>
      </c>
      <c r="N711" s="26" t="s">
        <v>37</v>
      </c>
      <c r="O711" s="24" t="s">
        <v>340</v>
      </c>
      <c r="P711" s="24" t="s">
        <v>449</v>
      </c>
      <c r="Q711" s="27"/>
      <c r="R711" s="27"/>
      <c r="S711" s="31" t="s">
        <v>4940</v>
      </c>
      <c r="T711" s="33" t="s">
        <v>4941</v>
      </c>
      <c r="U711" s="29" t="e">
        <v>#N/A</v>
      </c>
      <c r="V711" s="21" t="s">
        <v>573</v>
      </c>
    </row>
    <row r="712">
      <c r="A712" s="30">
        <v>7.290000135052E12</v>
      </c>
      <c r="B712" s="20" t="s">
        <v>4942</v>
      </c>
      <c r="C712" s="21">
        <v>0.053</v>
      </c>
      <c r="D712" s="21">
        <v>0.134</v>
      </c>
      <c r="E712" s="21">
        <v>0.053</v>
      </c>
      <c r="F712" s="22">
        <v>6.0</v>
      </c>
      <c r="G712" s="23"/>
      <c r="H712" s="20" t="s">
        <v>4930</v>
      </c>
      <c r="I712" s="21" t="s">
        <v>4930</v>
      </c>
      <c r="J712" s="20" t="s">
        <v>4923</v>
      </c>
      <c r="K712" s="24" t="s">
        <v>4943</v>
      </c>
      <c r="L712" s="20" t="s">
        <v>4944</v>
      </c>
      <c r="M712" s="25" t="s">
        <v>4945</v>
      </c>
      <c r="N712" s="26" t="s">
        <v>37</v>
      </c>
      <c r="O712" s="24" t="s">
        <v>340</v>
      </c>
      <c r="P712" s="24" t="s">
        <v>449</v>
      </c>
      <c r="Q712" s="27"/>
      <c r="R712" s="27"/>
      <c r="S712" s="31" t="s">
        <v>4946</v>
      </c>
      <c r="T712" s="33" t="s">
        <v>4947</v>
      </c>
      <c r="U712" s="29" t="e">
        <v>#N/A</v>
      </c>
      <c r="V712" s="21" t="s">
        <v>573</v>
      </c>
    </row>
    <row r="713">
      <c r="A713" s="30">
        <v>5.902198160403E12</v>
      </c>
      <c r="B713" s="20" t="s">
        <v>4948</v>
      </c>
      <c r="C713" s="21">
        <v>0.053</v>
      </c>
      <c r="D713" s="21">
        <v>0.134</v>
      </c>
      <c r="E713" s="21">
        <v>0.053</v>
      </c>
      <c r="F713" s="22">
        <v>6.0</v>
      </c>
      <c r="G713" s="23"/>
      <c r="H713" s="20" t="s">
        <v>4930</v>
      </c>
      <c r="I713" s="21" t="s">
        <v>4930</v>
      </c>
      <c r="J713" s="20" t="s">
        <v>4923</v>
      </c>
      <c r="K713" s="24" t="s">
        <v>4949</v>
      </c>
      <c r="L713" s="20" t="s">
        <v>4950</v>
      </c>
      <c r="M713" s="25" t="s">
        <v>4951</v>
      </c>
      <c r="N713" s="26" t="s">
        <v>28</v>
      </c>
      <c r="O713" s="24" t="s">
        <v>340</v>
      </c>
      <c r="P713" s="24" t="s">
        <v>449</v>
      </c>
      <c r="Q713" s="27"/>
      <c r="R713" s="27"/>
      <c r="S713" s="28" t="s">
        <v>4952</v>
      </c>
      <c r="T713" s="8" t="s">
        <v>4953</v>
      </c>
      <c r="U713" s="29" t="s">
        <v>4923</v>
      </c>
      <c r="V713" s="24" t="str">
        <f>VLOOKUP(A713,'tagging table'!A:G,7,0)</f>
        <v>Drinks</v>
      </c>
    </row>
    <row r="714">
      <c r="A714" s="30">
        <v>7.290014761063E12</v>
      </c>
      <c r="B714" s="20" t="s">
        <v>4954</v>
      </c>
      <c r="C714" s="21">
        <v>0.063</v>
      </c>
      <c r="D714" s="21">
        <v>0.067</v>
      </c>
      <c r="E714" s="21">
        <v>0.063</v>
      </c>
      <c r="F714" s="22">
        <v>2.0</v>
      </c>
      <c r="G714" s="23"/>
      <c r="H714" s="24" t="s">
        <v>4955</v>
      </c>
      <c r="I714" s="21" t="s">
        <v>4956</v>
      </c>
      <c r="J714" s="24"/>
      <c r="K714" s="24" t="s">
        <v>4957</v>
      </c>
      <c r="L714" s="20" t="s">
        <v>4958</v>
      </c>
      <c r="M714" s="25" t="s">
        <v>4959</v>
      </c>
      <c r="N714" s="26" t="s">
        <v>37</v>
      </c>
      <c r="O714" s="24" t="s">
        <v>1011</v>
      </c>
      <c r="P714" s="24"/>
      <c r="Q714" s="27"/>
      <c r="R714" s="27"/>
      <c r="S714" s="28"/>
      <c r="T714" s="8"/>
      <c r="U714" s="29"/>
      <c r="V714" s="21" t="s">
        <v>983</v>
      </c>
    </row>
    <row r="715">
      <c r="A715" s="30">
        <v>7.290110326999E12</v>
      </c>
      <c r="B715" s="20" t="s">
        <v>4960</v>
      </c>
      <c r="C715" s="21">
        <v>0.06</v>
      </c>
      <c r="D715" s="21">
        <v>0.17</v>
      </c>
      <c r="E715" s="21">
        <v>0.075</v>
      </c>
      <c r="F715" s="22">
        <v>4.0</v>
      </c>
      <c r="G715" s="23"/>
      <c r="H715" s="24" t="s">
        <v>4955</v>
      </c>
      <c r="I715" s="21" t="s">
        <v>4956</v>
      </c>
      <c r="J715" s="24"/>
      <c r="K715" s="24" t="s">
        <v>4961</v>
      </c>
      <c r="L715" s="20" t="s">
        <v>4962</v>
      </c>
      <c r="M715" s="25" t="s">
        <v>4963</v>
      </c>
      <c r="N715" s="26" t="s">
        <v>28</v>
      </c>
      <c r="O715" s="24" t="s">
        <v>700</v>
      </c>
      <c r="P715" s="24" t="s">
        <v>1078</v>
      </c>
      <c r="Q715" s="27"/>
      <c r="R715" s="27"/>
      <c r="S715" s="31" t="s">
        <v>4964</v>
      </c>
      <c r="T715" s="33" t="s">
        <v>4965</v>
      </c>
      <c r="U715" s="29" t="s">
        <v>4966</v>
      </c>
      <c r="V715" s="24" t="str">
        <f>iferror(VLOOKUP(A715,'tagging table'!A:G,7,0),"")</f>
        <v>Dairy</v>
      </c>
    </row>
    <row r="716">
      <c r="A716" s="30">
        <v>7.290014761056E12</v>
      </c>
      <c r="B716" s="20" t="s">
        <v>4967</v>
      </c>
      <c r="C716" s="21">
        <v>0.063</v>
      </c>
      <c r="D716" s="21">
        <v>0.067</v>
      </c>
      <c r="E716" s="21">
        <v>0.063</v>
      </c>
      <c r="F716" s="22">
        <v>2.0</v>
      </c>
      <c r="G716" s="23"/>
      <c r="H716" s="24" t="s">
        <v>4955</v>
      </c>
      <c r="I716" s="21" t="s">
        <v>4956</v>
      </c>
      <c r="J716" s="24"/>
      <c r="K716" s="24" t="s">
        <v>4968</v>
      </c>
      <c r="L716" s="20" t="s">
        <v>4969</v>
      </c>
      <c r="M716" s="25" t="s">
        <v>4970</v>
      </c>
      <c r="N716" s="26" t="s">
        <v>37</v>
      </c>
      <c r="O716" s="24" t="s">
        <v>1011</v>
      </c>
      <c r="P716" s="24"/>
      <c r="Q716" s="27"/>
      <c r="R716" s="27"/>
      <c r="S716" s="28"/>
      <c r="T716" s="8"/>
      <c r="U716" s="29"/>
      <c r="V716" s="21" t="s">
        <v>983</v>
      </c>
    </row>
    <row r="717">
      <c r="A717" s="30">
        <v>7.29011032168E12</v>
      </c>
      <c r="B717" s="20" t="s">
        <v>4971</v>
      </c>
      <c r="C717" s="21">
        <v>0.073</v>
      </c>
      <c r="D717" s="21">
        <v>0.072</v>
      </c>
      <c r="E717" s="21">
        <v>0.075</v>
      </c>
      <c r="F717" s="22">
        <v>4.0</v>
      </c>
      <c r="G717" s="23"/>
      <c r="H717" s="32" t="s">
        <v>4972</v>
      </c>
      <c r="I717" s="21" t="s">
        <v>4973</v>
      </c>
      <c r="J717" s="24"/>
      <c r="K717" s="24" t="s">
        <v>4974</v>
      </c>
      <c r="L717" s="20" t="s">
        <v>4975</v>
      </c>
      <c r="M717" s="25" t="s">
        <v>4976</v>
      </c>
      <c r="N717" s="26" t="s">
        <v>28</v>
      </c>
      <c r="O717" s="24" t="s">
        <v>1021</v>
      </c>
      <c r="P717" s="24" t="s">
        <v>1022</v>
      </c>
      <c r="Q717" s="27"/>
      <c r="R717" s="27"/>
      <c r="S717" s="28" t="s">
        <v>4977</v>
      </c>
      <c r="T717" s="8" t="s">
        <v>4978</v>
      </c>
      <c r="U717" s="29" t="s">
        <v>4979</v>
      </c>
      <c r="V717" s="24" t="str">
        <f>iferror(VLOOKUP(A717,'tagging table'!A:G,7,0),"")</f>
        <v>Dairy</v>
      </c>
    </row>
    <row r="718">
      <c r="A718" s="30">
        <v>7.290110321703E12</v>
      </c>
      <c r="B718" s="20" t="s">
        <v>4980</v>
      </c>
      <c r="C718" s="21">
        <v>0.073</v>
      </c>
      <c r="D718" s="21">
        <v>0.072</v>
      </c>
      <c r="E718" s="21">
        <v>0.075</v>
      </c>
      <c r="F718" s="22">
        <v>4.0</v>
      </c>
      <c r="G718" s="23"/>
      <c r="H718" s="32" t="s">
        <v>4972</v>
      </c>
      <c r="I718" s="21" t="s">
        <v>4973</v>
      </c>
      <c r="J718" s="24"/>
      <c r="K718" s="24" t="s">
        <v>4981</v>
      </c>
      <c r="L718" s="20" t="s">
        <v>4982</v>
      </c>
      <c r="M718" s="25" t="s">
        <v>4983</v>
      </c>
      <c r="N718" s="26" t="s">
        <v>28</v>
      </c>
      <c r="O718" s="24" t="s">
        <v>1021</v>
      </c>
      <c r="P718" s="24" t="s">
        <v>1022</v>
      </c>
      <c r="Q718" s="27"/>
      <c r="R718" s="27"/>
      <c r="S718" s="28" t="s">
        <v>4984</v>
      </c>
      <c r="T718" s="8" t="s">
        <v>4985</v>
      </c>
      <c r="U718" s="29" t="s">
        <v>4979</v>
      </c>
      <c r="V718" s="24" t="str">
        <f>iferror(VLOOKUP(A718,'tagging table'!A:G,7,0),"")</f>
        <v>Dairy</v>
      </c>
    </row>
    <row r="719">
      <c r="A719" s="30">
        <v>7.29011032621E12</v>
      </c>
      <c r="B719" s="20" t="s">
        <v>4986</v>
      </c>
      <c r="C719" s="21">
        <v>0.08</v>
      </c>
      <c r="D719" s="21">
        <v>0.07</v>
      </c>
      <c r="E719" s="21">
        <v>0.065</v>
      </c>
      <c r="F719" s="22">
        <v>5.0</v>
      </c>
      <c r="G719" s="23"/>
      <c r="H719" s="32" t="s">
        <v>1664</v>
      </c>
      <c r="I719" s="21" t="s">
        <v>4987</v>
      </c>
      <c r="J719" s="24"/>
      <c r="K719" s="24" t="s">
        <v>4988</v>
      </c>
      <c r="L719" s="20" t="s">
        <v>4989</v>
      </c>
      <c r="M719" s="25" t="s">
        <v>4990</v>
      </c>
      <c r="N719" s="26" t="s">
        <v>28</v>
      </c>
      <c r="O719" s="24" t="s">
        <v>1021</v>
      </c>
      <c r="P719" s="24" t="s">
        <v>1022</v>
      </c>
      <c r="Q719" s="27"/>
      <c r="R719" s="27"/>
      <c r="S719" s="28" t="s">
        <v>4991</v>
      </c>
      <c r="T719" s="8" t="s">
        <v>4992</v>
      </c>
      <c r="U719" s="29" t="s">
        <v>4987</v>
      </c>
      <c r="V719" s="24" t="str">
        <f>iferror(VLOOKUP(A719,'tagging table'!A:G,7,0),"")</f>
        <v>Dairy</v>
      </c>
    </row>
    <row r="720">
      <c r="A720" s="30">
        <v>7.290110326241E12</v>
      </c>
      <c r="B720" s="20" t="s">
        <v>4993</v>
      </c>
      <c r="C720" s="21">
        <v>0.08</v>
      </c>
      <c r="D720" s="21">
        <v>0.07</v>
      </c>
      <c r="E720" s="21">
        <v>0.065</v>
      </c>
      <c r="F720" s="22">
        <v>5.0</v>
      </c>
      <c r="G720" s="23"/>
      <c r="H720" s="32" t="s">
        <v>1664</v>
      </c>
      <c r="I720" s="21" t="s">
        <v>4987</v>
      </c>
      <c r="J720" s="24"/>
      <c r="K720" s="24" t="s">
        <v>4994</v>
      </c>
      <c r="L720" s="20" t="s">
        <v>4995</v>
      </c>
      <c r="M720" s="25" t="s">
        <v>4996</v>
      </c>
      <c r="N720" s="26" t="s">
        <v>28</v>
      </c>
      <c r="O720" s="24" t="s">
        <v>1021</v>
      </c>
      <c r="P720" s="24" t="s">
        <v>1022</v>
      </c>
      <c r="Q720" s="27"/>
      <c r="R720" s="27"/>
      <c r="S720" s="28" t="s">
        <v>4997</v>
      </c>
      <c r="T720" s="8" t="s">
        <v>4998</v>
      </c>
      <c r="U720" s="29" t="s">
        <v>4987</v>
      </c>
      <c r="V720" s="24" t="str">
        <f>iferror(VLOOKUP(A720,'tagging table'!A:G,7,0),"")</f>
        <v>Dairy</v>
      </c>
    </row>
    <row r="721">
      <c r="A721" s="30">
        <v>7.290110326234E12</v>
      </c>
      <c r="B721" s="20" t="s">
        <v>4999</v>
      </c>
      <c r="C721" s="21">
        <v>0.08</v>
      </c>
      <c r="D721" s="21">
        <v>0.072</v>
      </c>
      <c r="E721" s="21">
        <v>0.075</v>
      </c>
      <c r="F721" s="22">
        <v>4.0</v>
      </c>
      <c r="G721" s="23"/>
      <c r="H721" s="32" t="s">
        <v>1664</v>
      </c>
      <c r="I721" s="21" t="s">
        <v>4987</v>
      </c>
      <c r="J721" s="24"/>
      <c r="K721" s="24" t="s">
        <v>5000</v>
      </c>
      <c r="L721" s="20" t="s">
        <v>5001</v>
      </c>
      <c r="M721" s="25" t="s">
        <v>5002</v>
      </c>
      <c r="N721" s="26" t="s">
        <v>28</v>
      </c>
      <c r="O721" s="24" t="s">
        <v>1021</v>
      </c>
      <c r="P721" s="24" t="s">
        <v>1022</v>
      </c>
      <c r="Q721" s="27"/>
      <c r="R721" s="27"/>
      <c r="S721" s="31" t="s">
        <v>5003</v>
      </c>
      <c r="T721" s="8" t="s">
        <v>5004</v>
      </c>
      <c r="U721" s="29" t="s">
        <v>4987</v>
      </c>
      <c r="V721" s="24" t="str">
        <f>iferror(VLOOKUP(A721,'tagging table'!A:G,7,0),"")</f>
        <v>Dairy</v>
      </c>
    </row>
    <row r="722">
      <c r="A722" s="30">
        <v>7.290110324636E12</v>
      </c>
      <c r="B722" s="20" t="s">
        <v>5005</v>
      </c>
      <c r="C722" s="21">
        <v>0.075</v>
      </c>
      <c r="D722" s="21">
        <v>0.08</v>
      </c>
      <c r="E722" s="21">
        <v>0.075</v>
      </c>
      <c r="F722" s="22">
        <v>4.0</v>
      </c>
      <c r="G722" s="23"/>
      <c r="H722" s="32" t="s">
        <v>1664</v>
      </c>
      <c r="I722" s="21" t="s">
        <v>4987</v>
      </c>
      <c r="J722" s="24"/>
      <c r="K722" s="24" t="s">
        <v>5006</v>
      </c>
      <c r="L722" s="20" t="s">
        <v>5007</v>
      </c>
      <c r="M722" s="25" t="s">
        <v>5008</v>
      </c>
      <c r="N722" s="26" t="s">
        <v>28</v>
      </c>
      <c r="O722" s="24" t="s">
        <v>1021</v>
      </c>
      <c r="P722" s="24" t="s">
        <v>1022</v>
      </c>
      <c r="Q722" s="27"/>
      <c r="R722" s="27"/>
      <c r="S722" s="28" t="s">
        <v>5009</v>
      </c>
      <c r="T722" s="8" t="s">
        <v>5010</v>
      </c>
      <c r="U722" s="29" t="s">
        <v>4987</v>
      </c>
      <c r="V722" s="24" t="str">
        <f>iferror(VLOOKUP(A722,'tagging table'!A:G,7,0),"")</f>
        <v>Dairy</v>
      </c>
    </row>
    <row r="723">
      <c r="A723" s="30">
        <v>7.290110324612E12</v>
      </c>
      <c r="B723" s="20" t="s">
        <v>5011</v>
      </c>
      <c r="C723" s="21">
        <v>0.075</v>
      </c>
      <c r="D723" s="21">
        <v>0.08</v>
      </c>
      <c r="E723" s="21">
        <v>0.075</v>
      </c>
      <c r="F723" s="22">
        <v>4.0</v>
      </c>
      <c r="G723" s="23"/>
      <c r="H723" s="32" t="s">
        <v>1664</v>
      </c>
      <c r="I723" s="21" t="s">
        <v>4987</v>
      </c>
      <c r="J723" s="24"/>
      <c r="K723" s="24" t="s">
        <v>5012</v>
      </c>
      <c r="L723" s="20" t="s">
        <v>5013</v>
      </c>
      <c r="M723" s="25" t="s">
        <v>5014</v>
      </c>
      <c r="N723" s="26" t="s">
        <v>28</v>
      </c>
      <c r="O723" s="24" t="s">
        <v>1021</v>
      </c>
      <c r="P723" s="24" t="s">
        <v>1022</v>
      </c>
      <c r="Q723" s="27"/>
      <c r="R723" s="27"/>
      <c r="S723" s="28" t="s">
        <v>5015</v>
      </c>
      <c r="T723" s="8" t="s">
        <v>5016</v>
      </c>
      <c r="U723" s="29" t="s">
        <v>4987</v>
      </c>
      <c r="V723" s="24" t="str">
        <f>iferror(VLOOKUP(A723,'tagging table'!A:G,7,0),"")</f>
        <v>Dairy</v>
      </c>
    </row>
    <row r="724">
      <c r="A724" s="30">
        <v>40080.0</v>
      </c>
      <c r="B724" s="20" t="s">
        <v>5017</v>
      </c>
      <c r="C724" s="21">
        <v>0.073</v>
      </c>
      <c r="D724" s="21">
        <v>0.072</v>
      </c>
      <c r="E724" s="21">
        <v>0.075</v>
      </c>
      <c r="F724" s="22">
        <v>4.0</v>
      </c>
      <c r="G724" s="23"/>
      <c r="H724" s="32" t="s">
        <v>1664</v>
      </c>
      <c r="I724" s="21" t="s">
        <v>4987</v>
      </c>
      <c r="J724" s="24"/>
      <c r="K724" s="24" t="s">
        <v>5018</v>
      </c>
      <c r="L724" s="20" t="s">
        <v>5019</v>
      </c>
      <c r="M724" s="25" t="s">
        <v>5020</v>
      </c>
      <c r="N724" s="26" t="s">
        <v>28</v>
      </c>
      <c r="O724" s="24" t="s">
        <v>1021</v>
      </c>
      <c r="P724" s="24" t="s">
        <v>1022</v>
      </c>
      <c r="Q724" s="27"/>
      <c r="R724" s="27"/>
      <c r="S724" s="28" t="s">
        <v>5021</v>
      </c>
      <c r="T724" s="8" t="s">
        <v>5022</v>
      </c>
      <c r="U724" s="29" t="s">
        <v>4987</v>
      </c>
      <c r="V724" s="24" t="str">
        <f>iferror(VLOOKUP(A724,'tagging table'!A:G,7,0),"")</f>
        <v>Dairy</v>
      </c>
    </row>
    <row r="725">
      <c r="A725" s="30">
        <v>40042.0</v>
      </c>
      <c r="B725" s="20" t="s">
        <v>5023</v>
      </c>
      <c r="C725" s="21">
        <v>0.073</v>
      </c>
      <c r="D725" s="21">
        <v>0.072</v>
      </c>
      <c r="E725" s="21">
        <v>0.075</v>
      </c>
      <c r="F725" s="22">
        <v>4.0</v>
      </c>
      <c r="G725" s="23"/>
      <c r="H725" s="32" t="s">
        <v>1664</v>
      </c>
      <c r="I725" s="21" t="s">
        <v>4987</v>
      </c>
      <c r="J725" s="24"/>
      <c r="K725" s="24" t="s">
        <v>5024</v>
      </c>
      <c r="L725" s="20" t="s">
        <v>5025</v>
      </c>
      <c r="M725" s="25" t="s">
        <v>5026</v>
      </c>
      <c r="N725" s="26" t="s">
        <v>28</v>
      </c>
      <c r="O725" s="24" t="s">
        <v>1021</v>
      </c>
      <c r="P725" s="24" t="s">
        <v>1022</v>
      </c>
      <c r="Q725" s="27"/>
      <c r="R725" s="27"/>
      <c r="S725" s="28" t="s">
        <v>5027</v>
      </c>
      <c r="T725" s="8" t="s">
        <v>5028</v>
      </c>
      <c r="U725" s="29" t="s">
        <v>4987</v>
      </c>
      <c r="V725" s="24" t="str">
        <f>iferror(VLOOKUP(A725,'tagging table'!A:G,7,0),"")</f>
        <v>Dairy</v>
      </c>
    </row>
    <row r="726">
      <c r="A726" s="30">
        <v>55336.0</v>
      </c>
      <c r="B726" s="20" t="s">
        <v>5029</v>
      </c>
      <c r="C726" s="21">
        <v>0.06</v>
      </c>
      <c r="D726" s="21">
        <v>0.16</v>
      </c>
      <c r="E726" s="21">
        <v>0.05</v>
      </c>
      <c r="F726" s="22">
        <v>6.0</v>
      </c>
      <c r="G726" s="23"/>
      <c r="H726" s="32" t="s">
        <v>1664</v>
      </c>
      <c r="I726" s="21" t="s">
        <v>5030</v>
      </c>
      <c r="J726" s="24"/>
      <c r="K726" s="24" t="s">
        <v>5031</v>
      </c>
      <c r="L726" s="20" t="s">
        <v>5032</v>
      </c>
      <c r="M726" s="25" t="s">
        <v>5033</v>
      </c>
      <c r="N726" s="26" t="s">
        <v>28</v>
      </c>
      <c r="O726" s="24" t="s">
        <v>1021</v>
      </c>
      <c r="P726" s="24" t="s">
        <v>1044</v>
      </c>
      <c r="Q726" s="27"/>
      <c r="R726" s="27"/>
      <c r="S726" s="28" t="s">
        <v>5034</v>
      </c>
      <c r="T726" s="8" t="s">
        <v>5035</v>
      </c>
      <c r="U726" s="29" t="s">
        <v>5030</v>
      </c>
      <c r="V726" s="24" t="str">
        <f>iferror(VLOOKUP(A726,'tagging table'!A:G,7,0),"")</f>
        <v>Dairy</v>
      </c>
    </row>
    <row r="727">
      <c r="A727" s="30">
        <v>55329.0</v>
      </c>
      <c r="B727" s="20" t="s">
        <v>5036</v>
      </c>
      <c r="C727" s="21">
        <v>0.06</v>
      </c>
      <c r="D727" s="21">
        <v>0.16</v>
      </c>
      <c r="E727" s="21">
        <v>0.055</v>
      </c>
      <c r="F727" s="22">
        <v>5.0</v>
      </c>
      <c r="G727" s="23"/>
      <c r="H727" s="32" t="s">
        <v>1664</v>
      </c>
      <c r="I727" s="21" t="s">
        <v>5030</v>
      </c>
      <c r="J727" s="24"/>
      <c r="K727" s="24" t="s">
        <v>5037</v>
      </c>
      <c r="L727" s="20" t="s">
        <v>5038</v>
      </c>
      <c r="M727" s="25" t="s">
        <v>5039</v>
      </c>
      <c r="N727" s="26" t="s">
        <v>28</v>
      </c>
      <c r="O727" s="24" t="s">
        <v>1021</v>
      </c>
      <c r="P727" s="24" t="s">
        <v>1044</v>
      </c>
      <c r="Q727" s="27"/>
      <c r="R727" s="27"/>
      <c r="S727" s="28" t="s">
        <v>5040</v>
      </c>
      <c r="T727" s="8" t="s">
        <v>5041</v>
      </c>
      <c r="U727" s="29" t="s">
        <v>5030</v>
      </c>
      <c r="V727" s="24" t="str">
        <f>iferror(VLOOKUP(A727,'tagging table'!A:G,7,0),"")</f>
        <v>Dairy</v>
      </c>
    </row>
    <row r="728">
      <c r="A728" s="30">
        <v>3029907.0</v>
      </c>
      <c r="B728" s="20" t="s">
        <v>5042</v>
      </c>
      <c r="C728" s="21">
        <v>0.08</v>
      </c>
      <c r="D728" s="21">
        <v>0.26</v>
      </c>
      <c r="E728" s="21">
        <v>0.08</v>
      </c>
      <c r="F728" s="22">
        <v>4.0</v>
      </c>
      <c r="G728" s="23"/>
      <c r="H728" s="32" t="s">
        <v>695</v>
      </c>
      <c r="I728" s="21" t="s">
        <v>5043</v>
      </c>
      <c r="J728" s="24"/>
      <c r="K728" s="24" t="s">
        <v>5044</v>
      </c>
      <c r="L728" s="20" t="s">
        <v>5045</v>
      </c>
      <c r="M728" s="25" t="s">
        <v>5046</v>
      </c>
      <c r="N728" s="26" t="s">
        <v>28</v>
      </c>
      <c r="O728" s="24" t="s">
        <v>700</v>
      </c>
      <c r="P728" s="24" t="s">
        <v>709</v>
      </c>
      <c r="Q728" s="27"/>
      <c r="R728" s="27"/>
      <c r="S728" s="31" t="s">
        <v>5047</v>
      </c>
      <c r="T728" s="8" t="s">
        <v>5048</v>
      </c>
      <c r="U728" s="29" t="s">
        <v>5043</v>
      </c>
      <c r="V728" s="24" t="str">
        <f>iferror(VLOOKUP(A728,'tagging table'!A:G,7,0),"")</f>
        <v>Dairy</v>
      </c>
    </row>
    <row r="729">
      <c r="A729" s="30">
        <v>3029532.0</v>
      </c>
      <c r="B729" s="20" t="s">
        <v>5049</v>
      </c>
      <c r="C729" s="21">
        <v>0.08</v>
      </c>
      <c r="D729" s="21">
        <v>0.26</v>
      </c>
      <c r="E729" s="21">
        <v>0.075</v>
      </c>
      <c r="F729" s="22">
        <v>4.0</v>
      </c>
      <c r="G729" s="23"/>
      <c r="H729" s="32" t="s">
        <v>695</v>
      </c>
      <c r="I729" s="21" t="s">
        <v>5043</v>
      </c>
      <c r="J729" s="24"/>
      <c r="K729" s="24" t="s">
        <v>5050</v>
      </c>
      <c r="L729" s="20" t="s">
        <v>5051</v>
      </c>
      <c r="M729" s="25" t="s">
        <v>5052</v>
      </c>
      <c r="N729" s="26" t="s">
        <v>28</v>
      </c>
      <c r="O729" s="24" t="s">
        <v>700</v>
      </c>
      <c r="P729" s="24" t="s">
        <v>709</v>
      </c>
      <c r="Q729" s="27"/>
      <c r="R729" s="27"/>
      <c r="S729" s="31" t="s">
        <v>5053</v>
      </c>
      <c r="T729" s="33" t="s">
        <v>5054</v>
      </c>
      <c r="U729" s="29" t="s">
        <v>5043</v>
      </c>
      <c r="V729" s="24" t="str">
        <f>iferror(VLOOKUP(A729,'tagging table'!A:G,7,0),"")</f>
        <v>Dairy</v>
      </c>
    </row>
    <row r="730">
      <c r="A730" s="30">
        <v>3029181.0</v>
      </c>
      <c r="B730" s="20" t="s">
        <v>5055</v>
      </c>
      <c r="C730" s="21">
        <v>0.08</v>
      </c>
      <c r="D730" s="21">
        <v>0.26</v>
      </c>
      <c r="E730" s="21">
        <v>0.075</v>
      </c>
      <c r="F730" s="22">
        <v>4.0</v>
      </c>
      <c r="G730" s="23"/>
      <c r="H730" s="32" t="s">
        <v>695</v>
      </c>
      <c r="I730" s="21" t="s">
        <v>5043</v>
      </c>
      <c r="J730" s="24"/>
      <c r="K730" s="24" t="s">
        <v>5056</v>
      </c>
      <c r="L730" s="20" t="s">
        <v>5057</v>
      </c>
      <c r="M730" s="25" t="s">
        <v>5058</v>
      </c>
      <c r="N730" s="26" t="s">
        <v>28</v>
      </c>
      <c r="O730" s="24" t="s">
        <v>700</v>
      </c>
      <c r="P730" s="24" t="s">
        <v>709</v>
      </c>
      <c r="Q730" s="27"/>
      <c r="R730" s="27"/>
      <c r="S730" s="31" t="s">
        <v>5059</v>
      </c>
      <c r="T730" s="8" t="s">
        <v>5060</v>
      </c>
      <c r="U730" s="29" t="s">
        <v>5043</v>
      </c>
      <c r="V730" s="24" t="str">
        <f>iferror(VLOOKUP(A730,'tagging table'!A:G,7,0),"")</f>
        <v>Dairy</v>
      </c>
    </row>
    <row r="731">
      <c r="A731" s="30">
        <v>7.290105368959E12</v>
      </c>
      <c r="B731" s="20" t="s">
        <v>5061</v>
      </c>
      <c r="C731" s="21">
        <v>0.06</v>
      </c>
      <c r="D731" s="21">
        <v>0.17</v>
      </c>
      <c r="E731" s="21">
        <v>0.075</v>
      </c>
      <c r="F731" s="22">
        <v>4.0</v>
      </c>
      <c r="G731" s="23"/>
      <c r="H731" s="32" t="s">
        <v>695</v>
      </c>
      <c r="I731" s="21" t="s">
        <v>5062</v>
      </c>
      <c r="J731" s="24"/>
      <c r="K731" s="24" t="s">
        <v>5063</v>
      </c>
      <c r="L731" s="20" t="s">
        <v>5064</v>
      </c>
      <c r="M731" s="25" t="s">
        <v>5065</v>
      </c>
      <c r="N731" s="26" t="s">
        <v>28</v>
      </c>
      <c r="O731" s="24" t="s">
        <v>700</v>
      </c>
      <c r="P731" s="24" t="s">
        <v>1078</v>
      </c>
      <c r="Q731" s="27"/>
      <c r="R731" s="27"/>
      <c r="S731" s="28" t="s">
        <v>5066</v>
      </c>
      <c r="T731" s="8" t="s">
        <v>5067</v>
      </c>
      <c r="U731" s="29" t="s">
        <v>5062</v>
      </c>
      <c r="V731" s="24" t="str">
        <f>iferror(VLOOKUP(A731,'tagging table'!A:G,7,0),"")</f>
        <v>Dairy</v>
      </c>
    </row>
    <row r="732">
      <c r="A732" s="30">
        <v>7.290011438142E12</v>
      </c>
      <c r="B732" s="20" t="s">
        <v>5068</v>
      </c>
      <c r="C732" s="21">
        <v>0.06</v>
      </c>
      <c r="D732" s="21">
        <v>0.17</v>
      </c>
      <c r="E732" s="21">
        <v>0.065</v>
      </c>
      <c r="F732" s="22">
        <v>5.0</v>
      </c>
      <c r="G732" s="23"/>
      <c r="H732" s="32" t="s">
        <v>695</v>
      </c>
      <c r="I732" s="21" t="s">
        <v>5062</v>
      </c>
      <c r="J732" s="24"/>
      <c r="K732" s="24" t="s">
        <v>5069</v>
      </c>
      <c r="L732" s="20" t="s">
        <v>5070</v>
      </c>
      <c r="M732" s="25" t="s">
        <v>5071</v>
      </c>
      <c r="N732" s="26" t="s">
        <v>28</v>
      </c>
      <c r="O732" s="24" t="s">
        <v>700</v>
      </c>
      <c r="P732" s="24" t="s">
        <v>1078</v>
      </c>
      <c r="Q732" s="27"/>
      <c r="R732" s="27"/>
      <c r="S732" s="28" t="s">
        <v>5072</v>
      </c>
      <c r="T732" s="8" t="s">
        <v>5073</v>
      </c>
      <c r="U732" s="29" t="s">
        <v>5062</v>
      </c>
      <c r="V732" s="24" t="str">
        <f>iferror(VLOOKUP(A732,'tagging table'!A:G,7,0),"")</f>
        <v>Dairy</v>
      </c>
    </row>
    <row r="733">
      <c r="A733" s="30">
        <v>7.290112341112E12</v>
      </c>
      <c r="B733" s="20" t="s">
        <v>5074</v>
      </c>
      <c r="C733" s="21">
        <v>0.06</v>
      </c>
      <c r="D733" s="21">
        <v>0.17</v>
      </c>
      <c r="E733" s="21">
        <v>0.055</v>
      </c>
      <c r="F733" s="22">
        <v>5.0</v>
      </c>
      <c r="G733" s="23"/>
      <c r="H733" s="32" t="s">
        <v>695</v>
      </c>
      <c r="I733" s="21" t="s">
        <v>5062</v>
      </c>
      <c r="J733" s="24"/>
      <c r="K733" s="24" t="s">
        <v>5075</v>
      </c>
      <c r="L733" s="20" t="s">
        <v>5076</v>
      </c>
      <c r="M733" s="25" t="s">
        <v>5077</v>
      </c>
      <c r="N733" s="26" t="s">
        <v>28</v>
      </c>
      <c r="O733" s="24" t="s">
        <v>700</v>
      </c>
      <c r="P733" s="24" t="s">
        <v>1078</v>
      </c>
      <c r="Q733" s="27"/>
      <c r="R733" s="27"/>
      <c r="S733" s="28" t="s">
        <v>5078</v>
      </c>
      <c r="T733" s="8" t="s">
        <v>5079</v>
      </c>
      <c r="U733" s="29" t="s">
        <v>5062</v>
      </c>
      <c r="V733" s="24" t="str">
        <f>iferror(VLOOKUP(A733,'tagging table'!A:G,7,0),"")</f>
        <v>Dairy</v>
      </c>
    </row>
    <row r="734">
      <c r="A734" s="30">
        <v>3029433.0</v>
      </c>
      <c r="B734" s="20" t="s">
        <v>5080</v>
      </c>
      <c r="C734" s="21">
        <v>0.06</v>
      </c>
      <c r="D734" s="21">
        <v>0.17</v>
      </c>
      <c r="E734" s="21">
        <v>0.056</v>
      </c>
      <c r="F734" s="22">
        <v>5.0</v>
      </c>
      <c r="G734" s="23"/>
      <c r="H734" s="32" t="s">
        <v>695</v>
      </c>
      <c r="I734" s="21" t="s">
        <v>5062</v>
      </c>
      <c r="J734" s="24"/>
      <c r="K734" s="24" t="s">
        <v>5081</v>
      </c>
      <c r="L734" s="20" t="s">
        <v>5082</v>
      </c>
      <c r="M734" s="25" t="s">
        <v>5083</v>
      </c>
      <c r="N734" s="26" t="s">
        <v>28</v>
      </c>
      <c r="O734" s="24" t="s">
        <v>700</v>
      </c>
      <c r="P734" s="24" t="s">
        <v>1078</v>
      </c>
      <c r="Q734" s="27"/>
      <c r="R734" s="27"/>
      <c r="S734" s="28" t="s">
        <v>5084</v>
      </c>
      <c r="T734" s="8" t="s">
        <v>5085</v>
      </c>
      <c r="U734" s="29" t="s">
        <v>5062</v>
      </c>
      <c r="V734" s="24" t="str">
        <f>iferror(VLOOKUP(A734,'tagging table'!A:G,7,0),"")</f>
        <v>Dairy</v>
      </c>
    </row>
    <row r="735">
      <c r="A735" s="30">
        <v>7.290112342621E12</v>
      </c>
      <c r="B735" s="20" t="s">
        <v>5086</v>
      </c>
      <c r="C735" s="21">
        <v>0.06</v>
      </c>
      <c r="D735" s="21">
        <v>0.17</v>
      </c>
      <c r="E735" s="21">
        <v>0.06</v>
      </c>
      <c r="F735" s="22">
        <v>5.0</v>
      </c>
      <c r="G735" s="23"/>
      <c r="H735" s="32" t="s">
        <v>695</v>
      </c>
      <c r="I735" s="21" t="s">
        <v>5062</v>
      </c>
      <c r="J735" s="24"/>
      <c r="K735" s="24" t="s">
        <v>5087</v>
      </c>
      <c r="L735" s="20" t="s">
        <v>5088</v>
      </c>
      <c r="M735" s="25" t="s">
        <v>5089</v>
      </c>
      <c r="N735" s="26" t="s">
        <v>28</v>
      </c>
      <c r="O735" s="24" t="s">
        <v>700</v>
      </c>
      <c r="P735" s="24" t="s">
        <v>1078</v>
      </c>
      <c r="Q735" s="27"/>
      <c r="R735" s="27"/>
      <c r="S735" s="28" t="s">
        <v>5090</v>
      </c>
      <c r="T735" s="8" t="s">
        <v>5091</v>
      </c>
      <c r="U735" s="29" t="s">
        <v>5062</v>
      </c>
      <c r="V735" s="24" t="str">
        <f>iferror(VLOOKUP(A735,'tagging table'!A:G,7,0),"")</f>
        <v>Dairy</v>
      </c>
    </row>
    <row r="736">
      <c r="A736" s="51">
        <v>56951.0</v>
      </c>
      <c r="B736" s="52" t="s">
        <v>5092</v>
      </c>
      <c r="C736" s="19">
        <v>0.155</v>
      </c>
      <c r="D736" s="19">
        <v>0.077</v>
      </c>
      <c r="E736" s="19">
        <v>0.047</v>
      </c>
      <c r="F736" s="53">
        <v>5.0</v>
      </c>
      <c r="G736" s="54"/>
      <c r="H736" s="55" t="s">
        <v>1778</v>
      </c>
      <c r="I736" s="42" t="s">
        <v>1779</v>
      </c>
      <c r="J736" s="55"/>
      <c r="K736" s="55" t="s">
        <v>5093</v>
      </c>
      <c r="L736" s="56" t="s">
        <v>5094</v>
      </c>
      <c r="M736" s="53" t="s">
        <v>5095</v>
      </c>
      <c r="N736" s="53" t="s">
        <v>37</v>
      </c>
      <c r="O736" s="54"/>
      <c r="P736" s="54"/>
      <c r="Q736" s="54"/>
      <c r="R736" s="54"/>
      <c r="S736" s="54"/>
      <c r="T736" s="54"/>
      <c r="U736" s="54"/>
      <c r="V736" s="54"/>
    </row>
    <row r="737">
      <c r="A737" s="51">
        <v>4127077.0</v>
      </c>
      <c r="B737" s="51" t="s">
        <v>5096</v>
      </c>
      <c r="C737" s="53">
        <v>7.25</v>
      </c>
      <c r="D737" s="53">
        <v>8.72</v>
      </c>
      <c r="E737" s="53">
        <v>7.25</v>
      </c>
      <c r="F737" s="53">
        <v>4.0</v>
      </c>
      <c r="G737" s="54"/>
      <c r="H737" s="55" t="s">
        <v>939</v>
      </c>
      <c r="I737" s="53" t="s">
        <v>940</v>
      </c>
      <c r="J737" s="55"/>
      <c r="K737" s="55" t="s">
        <v>5097</v>
      </c>
      <c r="L737" s="56" t="s">
        <v>5098</v>
      </c>
      <c r="M737" s="53" t="s">
        <v>5099</v>
      </c>
      <c r="N737" s="53" t="s">
        <v>5100</v>
      </c>
      <c r="O737" s="54"/>
      <c r="P737" s="54"/>
      <c r="Q737" s="54"/>
      <c r="R737" s="54"/>
      <c r="S737" s="54"/>
      <c r="T737" s="54"/>
      <c r="U737" s="54"/>
      <c r="V737" s="54"/>
    </row>
    <row r="738">
      <c r="A738" s="51">
        <v>4121488.0</v>
      </c>
      <c r="B738" s="51" t="s">
        <v>5101</v>
      </c>
      <c r="C738" s="53">
        <v>0.065</v>
      </c>
      <c r="D738" s="53">
        <v>0.065</v>
      </c>
      <c r="E738" s="53">
        <v>0.067</v>
      </c>
      <c r="F738" s="53">
        <v>4.0</v>
      </c>
      <c r="G738" s="54"/>
      <c r="H738" s="55" t="s">
        <v>1664</v>
      </c>
      <c r="I738" s="53" t="s">
        <v>4987</v>
      </c>
      <c r="J738" s="55"/>
      <c r="K738" s="55" t="s">
        <v>5102</v>
      </c>
      <c r="L738" s="56" t="s">
        <v>5103</v>
      </c>
      <c r="M738" s="53" t="s">
        <v>5104</v>
      </c>
      <c r="N738" s="53" t="s">
        <v>5100</v>
      </c>
      <c r="O738" s="54"/>
      <c r="P738" s="54"/>
      <c r="Q738" s="54"/>
      <c r="R738" s="54"/>
      <c r="S738" s="54"/>
      <c r="T738" s="54"/>
      <c r="U738" s="54"/>
      <c r="V738" s="54"/>
    </row>
    <row r="739">
      <c r="A739" s="57">
        <v>4126872.0</v>
      </c>
      <c r="B739" s="51" t="s">
        <v>5105</v>
      </c>
      <c r="C739" s="54">
        <v>0.155</v>
      </c>
      <c r="D739" s="54">
        <v>0.06849999999999999</v>
      </c>
      <c r="E739" s="54">
        <v>0.06849999999999999</v>
      </c>
      <c r="F739" s="53">
        <v>4.0</v>
      </c>
      <c r="G739" s="54"/>
      <c r="H739" s="55" t="s">
        <v>57</v>
      </c>
      <c r="I739" s="58" t="s">
        <v>705</v>
      </c>
      <c r="J739" s="55"/>
      <c r="K739" s="55" t="s">
        <v>5106</v>
      </c>
      <c r="L739" s="56" t="s">
        <v>5107</v>
      </c>
      <c r="M739" s="50" t="s">
        <v>5108</v>
      </c>
      <c r="N739" s="54"/>
      <c r="O739" s="54"/>
      <c r="P739" s="54"/>
      <c r="Q739" s="54"/>
      <c r="R739" s="54"/>
      <c r="S739" s="54"/>
      <c r="T739" s="54"/>
      <c r="U739" s="54"/>
      <c r="V739" s="54"/>
    </row>
    <row r="740">
      <c r="A740" s="51">
        <v>7.290110321031E12</v>
      </c>
      <c r="B740" s="51" t="s">
        <v>5109</v>
      </c>
      <c r="C740" s="58">
        <v>0.073</v>
      </c>
      <c r="D740" s="58">
        <v>0.072</v>
      </c>
      <c r="E740" s="58">
        <v>0.075</v>
      </c>
      <c r="F740" s="53">
        <v>4.0</v>
      </c>
      <c r="G740" s="54"/>
      <c r="H740" s="55" t="s">
        <v>4972</v>
      </c>
      <c r="I740" s="53" t="s">
        <v>5110</v>
      </c>
      <c r="J740" s="55"/>
      <c r="K740" s="55" t="s">
        <v>5111</v>
      </c>
      <c r="L740" s="56" t="s">
        <v>5112</v>
      </c>
      <c r="M740" s="53" t="s">
        <v>5113</v>
      </c>
      <c r="N740" s="54"/>
      <c r="O740" s="54"/>
      <c r="P740" s="54"/>
      <c r="Q740" s="54"/>
      <c r="R740" s="54"/>
      <c r="S740" s="54"/>
      <c r="T740" s="54"/>
      <c r="U740" s="54"/>
      <c r="V740" s="54"/>
    </row>
    <row r="741">
      <c r="A741" s="51">
        <v>7.290110321697E12</v>
      </c>
      <c r="B741" s="51" t="s">
        <v>5114</v>
      </c>
      <c r="C741" s="54">
        <v>0.085</v>
      </c>
      <c r="D741" s="54">
        <v>0.065</v>
      </c>
      <c r="E741" s="54">
        <v>0.065</v>
      </c>
      <c r="F741" s="53">
        <v>4.0</v>
      </c>
      <c r="G741" s="54"/>
      <c r="H741" s="55" t="s">
        <v>4972</v>
      </c>
      <c r="I741" s="53" t="s">
        <v>5110</v>
      </c>
      <c r="J741" s="55"/>
      <c r="K741" s="55" t="s">
        <v>5115</v>
      </c>
      <c r="L741" s="56" t="s">
        <v>5116</v>
      </c>
      <c r="M741" s="53" t="s">
        <v>5117</v>
      </c>
      <c r="N741" s="54"/>
      <c r="O741" s="54"/>
      <c r="P741" s="54"/>
      <c r="Q741" s="54"/>
      <c r="R741" s="54"/>
      <c r="S741" s="54"/>
      <c r="T741" s="54"/>
      <c r="U741" s="54"/>
      <c r="V741" s="54"/>
    </row>
    <row r="742">
      <c r="A742" s="51">
        <v>7.290110326227E12</v>
      </c>
      <c r="B742" s="51" t="s">
        <v>5118</v>
      </c>
      <c r="C742" s="54">
        <v>0.72</v>
      </c>
      <c r="D742" s="54">
        <v>0.95</v>
      </c>
      <c r="E742" s="54">
        <v>0.95</v>
      </c>
      <c r="F742" s="53">
        <v>4.0</v>
      </c>
      <c r="G742" s="54"/>
      <c r="H742" s="55" t="s">
        <v>1664</v>
      </c>
      <c r="I742" s="53" t="s">
        <v>4987</v>
      </c>
      <c r="J742" s="55"/>
      <c r="K742" s="55" t="s">
        <v>5119</v>
      </c>
      <c r="L742" s="56" t="s">
        <v>5120</v>
      </c>
      <c r="M742" s="53" t="s">
        <v>5121</v>
      </c>
      <c r="N742" s="54"/>
      <c r="O742" s="54"/>
      <c r="P742" s="54"/>
      <c r="Q742" s="54"/>
      <c r="R742" s="54"/>
      <c r="S742" s="54"/>
      <c r="T742" s="54"/>
      <c r="U742" s="54"/>
      <c r="V742" s="54"/>
    </row>
    <row r="743">
      <c r="A743" s="51">
        <v>7.29011233039E12</v>
      </c>
      <c r="B743" s="51" t="s">
        <v>5122</v>
      </c>
      <c r="C743" s="54">
        <v>0.59</v>
      </c>
      <c r="D743" s="54">
        <v>0.95</v>
      </c>
      <c r="E743" s="54">
        <v>0.95</v>
      </c>
      <c r="F743" s="53">
        <v>4.0</v>
      </c>
      <c r="G743" s="54"/>
      <c r="H743" s="55" t="s">
        <v>1016</v>
      </c>
      <c r="I743" s="53" t="s">
        <v>1017</v>
      </c>
      <c r="J743" s="55"/>
      <c r="K743" s="55" t="s">
        <v>5123</v>
      </c>
      <c r="L743" s="56" t="s">
        <v>5124</v>
      </c>
      <c r="M743" s="53" t="s">
        <v>5125</v>
      </c>
      <c r="N743" s="54"/>
      <c r="O743" s="54"/>
      <c r="P743" s="54"/>
      <c r="Q743" s="54"/>
      <c r="R743" s="54"/>
      <c r="S743" s="54"/>
      <c r="T743" s="54"/>
      <c r="U743" s="54"/>
      <c r="V743" s="54"/>
    </row>
    <row r="744">
      <c r="A744" s="59">
        <v>4130916.0</v>
      </c>
      <c r="B744" s="60"/>
      <c r="C744" s="54"/>
      <c r="D744" s="54"/>
      <c r="E744" s="54"/>
      <c r="F744" s="54"/>
      <c r="G744" s="54"/>
      <c r="H744" s="55" t="s">
        <v>1664</v>
      </c>
      <c r="I744" s="53" t="s">
        <v>4987</v>
      </c>
      <c r="J744" s="55"/>
      <c r="K744" s="55" t="s">
        <v>5126</v>
      </c>
      <c r="L744" s="61"/>
      <c r="M744" s="53" t="s">
        <v>5127</v>
      </c>
      <c r="N744" s="54"/>
      <c r="O744" s="54"/>
      <c r="P744" s="54"/>
      <c r="Q744" s="54"/>
      <c r="R744" s="54"/>
      <c r="S744" s="54"/>
      <c r="T744" s="54"/>
      <c r="U744" s="54"/>
      <c r="V744" s="54"/>
    </row>
    <row r="745">
      <c r="A745" s="59">
        <v>44880.0</v>
      </c>
      <c r="B745" s="60"/>
      <c r="C745" s="54"/>
      <c r="D745" s="54"/>
      <c r="E745" s="54"/>
      <c r="F745" s="54"/>
      <c r="G745" s="54"/>
      <c r="H745" s="55" t="s">
        <v>5128</v>
      </c>
      <c r="I745" s="53" t="s">
        <v>5129</v>
      </c>
      <c r="J745" s="55"/>
      <c r="K745" s="55" t="s">
        <v>5130</v>
      </c>
      <c r="L745" s="61"/>
      <c r="M745" s="53" t="s">
        <v>5131</v>
      </c>
      <c r="N745" s="54"/>
      <c r="O745" s="54"/>
      <c r="P745" s="54"/>
      <c r="Q745" s="54"/>
      <c r="R745" s="54"/>
      <c r="S745" s="54"/>
      <c r="T745" s="54"/>
      <c r="U745" s="54"/>
      <c r="V745" s="54"/>
    </row>
    <row r="746">
      <c r="A746" s="59">
        <v>3029389.0</v>
      </c>
      <c r="B746" s="60"/>
      <c r="C746" s="54"/>
      <c r="D746" s="54"/>
      <c r="E746" s="54"/>
      <c r="F746" s="54"/>
      <c r="G746" s="54"/>
      <c r="H746" s="55" t="s">
        <v>695</v>
      </c>
      <c r="I746" s="53" t="s">
        <v>5062</v>
      </c>
      <c r="J746" s="55"/>
      <c r="K746" s="55" t="s">
        <v>5132</v>
      </c>
      <c r="L746" s="61"/>
      <c r="M746" s="53" t="s">
        <v>5133</v>
      </c>
      <c r="N746" s="54"/>
      <c r="O746" s="54"/>
      <c r="P746" s="54"/>
      <c r="Q746" s="54"/>
      <c r="R746" s="54"/>
      <c r="S746" s="54"/>
      <c r="T746" s="54"/>
      <c r="U746" s="54"/>
      <c r="V746" s="54"/>
    </row>
    <row r="747">
      <c r="A747" s="59">
        <v>47942.0</v>
      </c>
      <c r="B747" s="60"/>
      <c r="C747" s="54"/>
      <c r="D747" s="54"/>
      <c r="E747" s="54"/>
      <c r="F747" s="54"/>
      <c r="G747" s="54"/>
      <c r="H747" s="55" t="s">
        <v>57</v>
      </c>
      <c r="I747" s="53" t="s">
        <v>4880</v>
      </c>
      <c r="J747" s="55"/>
      <c r="K747" s="55" t="s">
        <v>5134</v>
      </c>
      <c r="L747" s="61"/>
      <c r="M747" s="53" t="s">
        <v>5135</v>
      </c>
      <c r="N747" s="54"/>
      <c r="O747" s="54"/>
      <c r="P747" s="54"/>
      <c r="Q747" s="54"/>
      <c r="R747" s="54"/>
      <c r="S747" s="54"/>
      <c r="T747" s="54"/>
      <c r="U747" s="54"/>
      <c r="V747" s="54"/>
    </row>
    <row r="748">
      <c r="A748" s="59">
        <v>7.290014760837E12</v>
      </c>
      <c r="B748" s="60"/>
      <c r="C748" s="54"/>
      <c r="D748" s="54"/>
      <c r="E748" s="54"/>
      <c r="F748" s="54"/>
      <c r="G748" s="54"/>
      <c r="H748" s="55" t="s">
        <v>1664</v>
      </c>
      <c r="I748" s="53" t="s">
        <v>4987</v>
      </c>
      <c r="J748" s="55"/>
      <c r="K748" s="55" t="s">
        <v>5136</v>
      </c>
      <c r="L748" s="61"/>
      <c r="M748" s="53" t="s">
        <v>5137</v>
      </c>
      <c r="N748" s="54"/>
      <c r="O748" s="54"/>
      <c r="P748" s="54"/>
      <c r="Q748" s="54"/>
      <c r="R748" s="54"/>
      <c r="S748" s="54"/>
      <c r="T748" s="54"/>
      <c r="U748" s="54"/>
      <c r="V748" s="54"/>
    </row>
    <row r="749">
      <c r="A749" s="59">
        <v>7.290101551539E12</v>
      </c>
      <c r="B749" s="60"/>
      <c r="C749" s="54"/>
      <c r="D749" s="54"/>
      <c r="E749" s="54"/>
      <c r="F749" s="54"/>
      <c r="G749" s="54"/>
      <c r="H749" s="55" t="s">
        <v>1016</v>
      </c>
      <c r="I749" s="53" t="s">
        <v>1017</v>
      </c>
      <c r="J749" s="55"/>
      <c r="K749" s="55" t="s">
        <v>5138</v>
      </c>
      <c r="L749" s="61"/>
      <c r="M749" s="53" t="s">
        <v>5139</v>
      </c>
      <c r="N749" s="54"/>
      <c r="O749" s="54"/>
      <c r="P749" s="54"/>
      <c r="Q749" s="54"/>
      <c r="R749" s="54"/>
      <c r="S749" s="54"/>
      <c r="T749" s="54"/>
      <c r="U749" s="54"/>
      <c r="V749" s="54"/>
    </row>
    <row r="750">
      <c r="A750" s="59">
        <v>7.290102398614E12</v>
      </c>
      <c r="B750" s="60"/>
      <c r="C750" s="54"/>
      <c r="D750" s="54"/>
      <c r="E750" s="54"/>
      <c r="F750" s="54"/>
      <c r="G750" s="54"/>
      <c r="H750" s="55" t="s">
        <v>695</v>
      </c>
      <c r="I750" s="58" t="s">
        <v>5043</v>
      </c>
      <c r="J750" s="55"/>
      <c r="K750" s="55" t="s">
        <v>5140</v>
      </c>
      <c r="L750" s="61"/>
      <c r="M750" s="53" t="s">
        <v>5141</v>
      </c>
      <c r="N750" s="54"/>
      <c r="O750" s="54"/>
      <c r="P750" s="54"/>
      <c r="Q750" s="54"/>
      <c r="R750" s="54"/>
      <c r="S750" s="54"/>
      <c r="T750" s="54"/>
      <c r="U750" s="54"/>
      <c r="V750" s="54"/>
    </row>
    <row r="751">
      <c r="A751" s="59">
        <v>7.290107957991E12</v>
      </c>
      <c r="B751" s="60"/>
      <c r="C751" s="54"/>
      <c r="D751" s="54"/>
      <c r="E751" s="54"/>
      <c r="F751" s="54"/>
      <c r="G751" s="54"/>
      <c r="H751" s="55" t="s">
        <v>2743</v>
      </c>
      <c r="I751" s="53" t="s">
        <v>2744</v>
      </c>
      <c r="J751" s="55"/>
      <c r="K751" s="55" t="s">
        <v>5142</v>
      </c>
      <c r="L751" s="61"/>
      <c r="M751" s="53" t="s">
        <v>5143</v>
      </c>
      <c r="N751" s="54"/>
      <c r="O751" s="54"/>
      <c r="P751" s="54"/>
      <c r="Q751" s="54"/>
      <c r="R751" s="54"/>
      <c r="S751" s="54"/>
      <c r="T751" s="54"/>
      <c r="U751" s="54"/>
      <c r="V751" s="54"/>
    </row>
    <row r="752">
      <c r="A752" s="59">
        <v>7.290110324926E12</v>
      </c>
      <c r="B752" s="60"/>
      <c r="C752" s="54"/>
      <c r="D752" s="54"/>
      <c r="E752" s="54"/>
      <c r="F752" s="54"/>
      <c r="G752" s="54"/>
      <c r="H752" s="55" t="s">
        <v>57</v>
      </c>
      <c r="I752" s="53" t="s">
        <v>67</v>
      </c>
      <c r="J752" s="55"/>
      <c r="K752" s="55" t="s">
        <v>5144</v>
      </c>
      <c r="L752" s="61"/>
      <c r="M752" s="53" t="s">
        <v>5145</v>
      </c>
      <c r="N752" s="54"/>
      <c r="O752" s="54"/>
      <c r="P752" s="54"/>
      <c r="Q752" s="54"/>
      <c r="R752" s="54"/>
      <c r="S752" s="54"/>
      <c r="T752" s="54"/>
      <c r="U752" s="54"/>
      <c r="V752" s="54"/>
    </row>
    <row r="753">
      <c r="A753" s="59">
        <v>4131814.0</v>
      </c>
      <c r="B753" s="60"/>
      <c r="C753" s="54"/>
      <c r="D753" s="54"/>
      <c r="E753" s="54"/>
      <c r="F753" s="54"/>
      <c r="G753" s="54"/>
      <c r="H753" s="55" t="s">
        <v>3465</v>
      </c>
      <c r="I753" s="53" t="s">
        <v>3466</v>
      </c>
      <c r="J753" s="55"/>
      <c r="K753" s="55" t="s">
        <v>5146</v>
      </c>
      <c r="L753" s="61"/>
      <c r="M753" s="53" t="s">
        <v>5147</v>
      </c>
      <c r="N753" s="54"/>
      <c r="O753" s="54"/>
      <c r="P753" s="54"/>
      <c r="Q753" s="54"/>
      <c r="R753" s="54"/>
      <c r="S753" s="54"/>
      <c r="T753" s="54"/>
      <c r="U753" s="54"/>
      <c r="V753" s="54"/>
    </row>
    <row r="754">
      <c r="A754" s="59">
        <v>4127336.0</v>
      </c>
      <c r="B754" s="60"/>
      <c r="C754" s="54"/>
      <c r="D754" s="54"/>
      <c r="E754" s="54"/>
      <c r="F754" s="54"/>
      <c r="G754" s="54"/>
      <c r="H754" s="55" t="s">
        <v>939</v>
      </c>
      <c r="I754" s="53" t="s">
        <v>940</v>
      </c>
      <c r="J754" s="55"/>
      <c r="K754" s="55" t="s">
        <v>5148</v>
      </c>
      <c r="L754" s="61"/>
      <c r="M754" s="53" t="s">
        <v>5149</v>
      </c>
      <c r="N754" s="54"/>
      <c r="O754" s="54"/>
      <c r="P754" s="54"/>
      <c r="Q754" s="54"/>
      <c r="R754" s="54"/>
      <c r="S754" s="54"/>
      <c r="T754" s="54"/>
      <c r="U754" s="54"/>
      <c r="V754" s="54"/>
    </row>
    <row r="755">
      <c r="A755" s="59">
        <v>7.290110321284E12</v>
      </c>
      <c r="B755" s="60"/>
      <c r="C755" s="54"/>
      <c r="D755" s="54"/>
      <c r="E755" s="54"/>
      <c r="F755" s="54"/>
      <c r="G755" s="54"/>
      <c r="H755" s="55" t="s">
        <v>939</v>
      </c>
      <c r="I755" s="53" t="s">
        <v>940</v>
      </c>
      <c r="J755" s="55"/>
      <c r="K755" s="55" t="s">
        <v>5150</v>
      </c>
      <c r="L755" s="61"/>
      <c r="M755" s="53" t="s">
        <v>5151</v>
      </c>
      <c r="N755" s="54"/>
      <c r="O755" s="54"/>
      <c r="P755" s="54"/>
      <c r="Q755" s="54"/>
      <c r="R755" s="54"/>
      <c r="S755" s="54"/>
      <c r="T755" s="54"/>
      <c r="U755" s="54"/>
      <c r="V755" s="54"/>
    </row>
    <row r="756">
      <c r="A756" s="62">
        <v>43890.0</v>
      </c>
      <c r="B756" s="60"/>
      <c r="C756" s="54"/>
      <c r="D756" s="54"/>
      <c r="E756" s="54"/>
      <c r="F756" s="54"/>
      <c r="G756" s="54"/>
      <c r="H756" s="55" t="s">
        <v>4004</v>
      </c>
      <c r="I756" s="53" t="s">
        <v>4005</v>
      </c>
      <c r="J756" s="55"/>
      <c r="K756" s="55" t="s">
        <v>5152</v>
      </c>
      <c r="L756" s="61"/>
      <c r="M756" s="53" t="s">
        <v>5153</v>
      </c>
      <c r="N756" s="54"/>
      <c r="O756" s="54"/>
      <c r="P756" s="54"/>
      <c r="Q756" s="54"/>
      <c r="R756" s="54"/>
      <c r="S756" s="54"/>
      <c r="T756" s="54"/>
      <c r="U756" s="54"/>
      <c r="V756" s="54"/>
    </row>
    <row r="757">
      <c r="A757" s="59">
        <v>4125509.0</v>
      </c>
      <c r="B757" s="60"/>
      <c r="C757" s="54"/>
      <c r="D757" s="54"/>
      <c r="E757" s="54"/>
      <c r="F757" s="54"/>
      <c r="G757" s="54"/>
      <c r="H757" s="55" t="s">
        <v>57</v>
      </c>
      <c r="I757" s="53" t="s">
        <v>971</v>
      </c>
      <c r="J757" s="55"/>
      <c r="K757" s="55" t="s">
        <v>5154</v>
      </c>
      <c r="L757" s="61"/>
      <c r="M757" s="53" t="s">
        <v>5155</v>
      </c>
      <c r="N757" s="54"/>
      <c r="O757" s="54"/>
      <c r="P757" s="54"/>
      <c r="Q757" s="54"/>
      <c r="R757" s="54"/>
      <c r="S757" s="54"/>
      <c r="T757" s="54"/>
      <c r="U757" s="54"/>
      <c r="V757" s="54"/>
    </row>
    <row r="758">
      <c r="A758" s="59">
        <v>4130794.0</v>
      </c>
      <c r="B758" s="60"/>
      <c r="C758" s="54"/>
      <c r="D758" s="54"/>
      <c r="E758" s="54"/>
      <c r="F758" s="54"/>
      <c r="G758" s="54"/>
      <c r="H758" s="55" t="s">
        <v>57</v>
      </c>
      <c r="I758" s="53" t="s">
        <v>67</v>
      </c>
      <c r="J758" s="55"/>
      <c r="K758" s="55" t="s">
        <v>5156</v>
      </c>
      <c r="L758" s="61"/>
      <c r="M758" s="53" t="s">
        <v>5157</v>
      </c>
      <c r="N758" s="54"/>
      <c r="O758" s="54"/>
      <c r="P758" s="54"/>
      <c r="Q758" s="54"/>
      <c r="R758" s="54"/>
      <c r="S758" s="54"/>
      <c r="T758" s="54"/>
      <c r="U758" s="54"/>
      <c r="V758" s="54"/>
    </row>
    <row r="759">
      <c r="L759" s="63"/>
    </row>
    <row r="760">
      <c r="L760" s="63"/>
    </row>
    <row r="761">
      <c r="L761" s="63"/>
    </row>
    <row r="762">
      <c r="L762" s="63"/>
    </row>
    <row r="763">
      <c r="L763" s="63"/>
    </row>
    <row r="764">
      <c r="L764" s="63"/>
    </row>
    <row r="765">
      <c r="L765" s="63"/>
    </row>
    <row r="766">
      <c r="L766" s="63"/>
    </row>
    <row r="767">
      <c r="L767" s="63"/>
    </row>
    <row r="768">
      <c r="L768" s="63"/>
    </row>
    <row r="769">
      <c r="L769" s="63"/>
    </row>
    <row r="770">
      <c r="L770" s="63"/>
    </row>
    <row r="771">
      <c r="L771" s="63"/>
    </row>
    <row r="772">
      <c r="L772" s="63"/>
    </row>
    <row r="773">
      <c r="L773" s="63"/>
    </row>
    <row r="774">
      <c r="L774" s="63"/>
    </row>
    <row r="775">
      <c r="L775" s="63"/>
    </row>
    <row r="776">
      <c r="L776" s="63"/>
    </row>
    <row r="777">
      <c r="L777" s="63"/>
    </row>
    <row r="778">
      <c r="L778" s="63"/>
    </row>
    <row r="779">
      <c r="L779" s="63"/>
    </row>
    <row r="780">
      <c r="L780" s="63"/>
    </row>
    <row r="781">
      <c r="L781" s="63"/>
    </row>
    <row r="782">
      <c r="L782" s="63"/>
    </row>
    <row r="783">
      <c r="L783" s="63"/>
    </row>
    <row r="784">
      <c r="L784" s="63"/>
    </row>
    <row r="785">
      <c r="L785" s="63"/>
    </row>
    <row r="786">
      <c r="L786" s="63"/>
    </row>
    <row r="787">
      <c r="L787" s="63"/>
    </row>
    <row r="788">
      <c r="L788" s="63"/>
    </row>
    <row r="789">
      <c r="L789" s="63"/>
    </row>
    <row r="790">
      <c r="L790" s="63"/>
    </row>
    <row r="791">
      <c r="L791" s="63"/>
    </row>
    <row r="792">
      <c r="L792" s="63"/>
    </row>
    <row r="793">
      <c r="L793" s="63"/>
    </row>
    <row r="794">
      <c r="L794" s="63"/>
    </row>
    <row r="795">
      <c r="L795" s="63"/>
    </row>
    <row r="796">
      <c r="L796" s="63"/>
    </row>
    <row r="797">
      <c r="L797" s="63"/>
    </row>
    <row r="798">
      <c r="L798" s="63"/>
    </row>
    <row r="799">
      <c r="L799" s="63"/>
    </row>
    <row r="800">
      <c r="L800" s="63"/>
    </row>
    <row r="801">
      <c r="L801" s="63"/>
    </row>
    <row r="802">
      <c r="L802" s="63"/>
    </row>
    <row r="803">
      <c r="L803" s="63"/>
    </row>
    <row r="804">
      <c r="L804" s="63"/>
    </row>
    <row r="805">
      <c r="L805" s="63"/>
    </row>
    <row r="806">
      <c r="L806" s="63"/>
    </row>
    <row r="807">
      <c r="L807" s="63"/>
    </row>
    <row r="808">
      <c r="L808" s="63"/>
    </row>
    <row r="809">
      <c r="L809" s="63"/>
    </row>
    <row r="810">
      <c r="L810" s="63"/>
    </row>
    <row r="811">
      <c r="L811" s="63"/>
    </row>
    <row r="812">
      <c r="L812" s="63"/>
    </row>
    <row r="813">
      <c r="L813" s="63"/>
    </row>
    <row r="814">
      <c r="L814" s="63"/>
    </row>
    <row r="815">
      <c r="L815" s="63"/>
    </row>
    <row r="816">
      <c r="L816" s="63"/>
    </row>
    <row r="817">
      <c r="L817" s="63"/>
    </row>
    <row r="818">
      <c r="L818" s="63"/>
    </row>
    <row r="819">
      <c r="L819" s="63"/>
    </row>
    <row r="820">
      <c r="L820" s="63"/>
    </row>
    <row r="821">
      <c r="L821" s="63"/>
    </row>
    <row r="822">
      <c r="L822" s="63"/>
    </row>
    <row r="823">
      <c r="L823" s="63"/>
    </row>
    <row r="824">
      <c r="L824" s="63"/>
    </row>
    <row r="825">
      <c r="L825" s="63"/>
    </row>
    <row r="826">
      <c r="L826" s="63"/>
    </row>
    <row r="827">
      <c r="L827" s="63"/>
    </row>
    <row r="828">
      <c r="L828" s="63"/>
    </row>
    <row r="829">
      <c r="L829" s="63"/>
    </row>
    <row r="830">
      <c r="L830" s="63"/>
    </row>
    <row r="831">
      <c r="L831" s="63"/>
    </row>
    <row r="832">
      <c r="L832" s="63"/>
    </row>
    <row r="833">
      <c r="L833" s="63"/>
    </row>
    <row r="834">
      <c r="L834" s="63"/>
    </row>
    <row r="835">
      <c r="L835" s="63"/>
    </row>
    <row r="836">
      <c r="L836" s="63"/>
    </row>
    <row r="837">
      <c r="L837" s="63"/>
    </row>
    <row r="838">
      <c r="L838" s="63"/>
    </row>
    <row r="839">
      <c r="L839" s="63"/>
    </row>
    <row r="840">
      <c r="L840" s="63"/>
    </row>
    <row r="841">
      <c r="L841" s="63"/>
    </row>
    <row r="842">
      <c r="L842" s="63"/>
    </row>
    <row r="843">
      <c r="L843" s="63"/>
    </row>
    <row r="844">
      <c r="L844" s="63"/>
    </row>
    <row r="845">
      <c r="L845" s="63"/>
    </row>
    <row r="846">
      <c r="L846" s="63"/>
    </row>
    <row r="847">
      <c r="L847" s="63"/>
    </row>
    <row r="848">
      <c r="L848" s="63"/>
    </row>
    <row r="849">
      <c r="L849" s="63"/>
    </row>
    <row r="850">
      <c r="L850" s="63"/>
    </row>
    <row r="851">
      <c r="L851" s="63"/>
    </row>
    <row r="852">
      <c r="L852" s="63"/>
    </row>
    <row r="853">
      <c r="L853" s="63"/>
    </row>
    <row r="854">
      <c r="L854" s="63"/>
    </row>
    <row r="855">
      <c r="L855" s="63"/>
    </row>
    <row r="856">
      <c r="L856" s="63"/>
    </row>
    <row r="857">
      <c r="L857" s="63"/>
    </row>
    <row r="858">
      <c r="L858" s="63"/>
    </row>
    <row r="859">
      <c r="L859" s="63"/>
    </row>
    <row r="860">
      <c r="L860" s="63"/>
    </row>
    <row r="861">
      <c r="L861" s="63"/>
    </row>
    <row r="862">
      <c r="L862" s="63"/>
    </row>
    <row r="863">
      <c r="L863" s="63"/>
    </row>
    <row r="864">
      <c r="L864" s="63"/>
    </row>
    <row r="865">
      <c r="L865" s="63"/>
    </row>
    <row r="866">
      <c r="L866" s="63"/>
    </row>
    <row r="867">
      <c r="L867" s="63"/>
    </row>
    <row r="868">
      <c r="L868" s="63"/>
    </row>
    <row r="869">
      <c r="L869" s="63"/>
    </row>
    <row r="870">
      <c r="L870" s="63"/>
    </row>
    <row r="871">
      <c r="L871" s="63"/>
    </row>
    <row r="872">
      <c r="L872" s="63"/>
    </row>
    <row r="873">
      <c r="L873" s="63"/>
    </row>
    <row r="874">
      <c r="L874" s="63"/>
    </row>
    <row r="875">
      <c r="L875" s="63"/>
    </row>
    <row r="876">
      <c r="L876" s="63"/>
    </row>
    <row r="877">
      <c r="L877" s="63"/>
    </row>
    <row r="878">
      <c r="L878" s="63"/>
    </row>
    <row r="879">
      <c r="L879" s="63"/>
    </row>
    <row r="880">
      <c r="L880" s="63"/>
    </row>
    <row r="881">
      <c r="L881" s="63"/>
    </row>
    <row r="882">
      <c r="L882" s="63"/>
    </row>
    <row r="883">
      <c r="L883" s="63"/>
    </row>
    <row r="884">
      <c r="L884" s="63"/>
    </row>
    <row r="885">
      <c r="L885" s="63"/>
    </row>
    <row r="886">
      <c r="L886" s="63"/>
    </row>
    <row r="887">
      <c r="L887" s="63"/>
    </row>
    <row r="888">
      <c r="L888" s="63"/>
    </row>
    <row r="889">
      <c r="L889" s="63"/>
    </row>
    <row r="890">
      <c r="L890" s="63"/>
    </row>
    <row r="891">
      <c r="L891" s="63"/>
    </row>
    <row r="892">
      <c r="L892" s="63"/>
    </row>
    <row r="893">
      <c r="L893" s="63"/>
    </row>
    <row r="894">
      <c r="L894" s="63"/>
    </row>
    <row r="895">
      <c r="L895" s="63"/>
    </row>
    <row r="896">
      <c r="L896" s="63"/>
    </row>
    <row r="897">
      <c r="L897" s="63"/>
    </row>
    <row r="898">
      <c r="L898" s="63"/>
    </row>
    <row r="899">
      <c r="L899" s="63"/>
    </row>
    <row r="900">
      <c r="L900" s="63"/>
    </row>
    <row r="901">
      <c r="L901" s="63"/>
    </row>
    <row r="902">
      <c r="L902" s="63"/>
    </row>
    <row r="903">
      <c r="L903" s="63"/>
    </row>
    <row r="904">
      <c r="L904" s="63"/>
    </row>
    <row r="905">
      <c r="L905" s="63"/>
    </row>
    <row r="906">
      <c r="L906" s="63"/>
    </row>
    <row r="907">
      <c r="L907" s="63"/>
    </row>
    <row r="908">
      <c r="L908" s="63"/>
    </row>
    <row r="909">
      <c r="L909" s="63"/>
    </row>
    <row r="910">
      <c r="L910" s="63"/>
    </row>
    <row r="911">
      <c r="L911" s="63"/>
    </row>
    <row r="912">
      <c r="L912" s="63"/>
    </row>
    <row r="913">
      <c r="L913" s="63"/>
    </row>
    <row r="914">
      <c r="L914" s="63"/>
    </row>
    <row r="915">
      <c r="L915" s="63"/>
    </row>
    <row r="916">
      <c r="L916" s="63"/>
    </row>
    <row r="917">
      <c r="L917" s="63"/>
    </row>
    <row r="918">
      <c r="L918" s="63"/>
    </row>
    <row r="919">
      <c r="L919" s="63"/>
    </row>
    <row r="920">
      <c r="L920" s="63"/>
    </row>
    <row r="921">
      <c r="L921" s="63"/>
    </row>
    <row r="922">
      <c r="L922" s="63"/>
    </row>
    <row r="923">
      <c r="L923" s="63"/>
    </row>
    <row r="924">
      <c r="L924" s="63"/>
    </row>
    <row r="925">
      <c r="L925" s="63"/>
    </row>
    <row r="926">
      <c r="L926" s="63"/>
    </row>
    <row r="927">
      <c r="L927" s="63"/>
    </row>
    <row r="928">
      <c r="L928" s="63"/>
    </row>
    <row r="929">
      <c r="L929" s="63"/>
    </row>
    <row r="930">
      <c r="L930" s="63"/>
    </row>
    <row r="931">
      <c r="L931" s="63"/>
    </row>
    <row r="932">
      <c r="L932" s="63"/>
    </row>
    <row r="933">
      <c r="L933" s="63"/>
    </row>
    <row r="934">
      <c r="L934" s="63"/>
    </row>
    <row r="935">
      <c r="L935" s="63"/>
    </row>
    <row r="936">
      <c r="L936" s="63"/>
    </row>
    <row r="937">
      <c r="L937" s="63"/>
    </row>
    <row r="938">
      <c r="L938" s="63"/>
    </row>
    <row r="939">
      <c r="L939" s="63"/>
    </row>
    <row r="940">
      <c r="L940" s="63"/>
    </row>
    <row r="941">
      <c r="L941" s="63"/>
    </row>
    <row r="942">
      <c r="L942" s="63"/>
    </row>
    <row r="943">
      <c r="L943" s="63"/>
    </row>
    <row r="944">
      <c r="L944" s="63"/>
    </row>
    <row r="945">
      <c r="L945" s="63"/>
    </row>
    <row r="946">
      <c r="L946" s="63"/>
    </row>
    <row r="947">
      <c r="L947" s="63"/>
    </row>
    <row r="948">
      <c r="L948" s="63"/>
    </row>
    <row r="949">
      <c r="L949" s="63"/>
    </row>
    <row r="950">
      <c r="L950" s="63"/>
    </row>
    <row r="951">
      <c r="L951" s="63"/>
    </row>
    <row r="952">
      <c r="L952" s="63"/>
    </row>
    <row r="953">
      <c r="L953" s="63"/>
    </row>
    <row r="954">
      <c r="L954" s="63"/>
    </row>
    <row r="955">
      <c r="L955" s="63"/>
    </row>
    <row r="956">
      <c r="L956" s="63"/>
    </row>
    <row r="957">
      <c r="L957" s="63"/>
    </row>
    <row r="958">
      <c r="L958" s="63"/>
    </row>
    <row r="959">
      <c r="L959" s="63"/>
    </row>
    <row r="960">
      <c r="L960" s="63"/>
    </row>
    <row r="961">
      <c r="L961" s="63"/>
    </row>
    <row r="962">
      <c r="L962" s="63"/>
    </row>
    <row r="963">
      <c r="L963" s="63"/>
    </row>
    <row r="964">
      <c r="L964" s="63"/>
    </row>
    <row r="965">
      <c r="L965" s="63"/>
    </row>
    <row r="966">
      <c r="L966" s="63"/>
    </row>
    <row r="967">
      <c r="L967" s="63"/>
    </row>
    <row r="968">
      <c r="L968" s="63"/>
    </row>
    <row r="969">
      <c r="L969" s="63"/>
    </row>
    <row r="970">
      <c r="L970" s="63"/>
    </row>
    <row r="971">
      <c r="L971" s="63"/>
    </row>
    <row r="972">
      <c r="L972" s="63"/>
    </row>
    <row r="973">
      <c r="L973" s="63"/>
    </row>
    <row r="974">
      <c r="L974" s="63"/>
    </row>
    <row r="975">
      <c r="L975" s="63"/>
    </row>
    <row r="976">
      <c r="L976" s="63"/>
    </row>
    <row r="977">
      <c r="L977" s="63"/>
    </row>
    <row r="978">
      <c r="L978" s="63"/>
    </row>
    <row r="979">
      <c r="L979" s="63"/>
    </row>
    <row r="980">
      <c r="L980" s="63"/>
    </row>
    <row r="981">
      <c r="L981" s="63"/>
    </row>
    <row r="982">
      <c r="L982" s="63"/>
    </row>
    <row r="983">
      <c r="L983" s="63"/>
    </row>
    <row r="984">
      <c r="L984" s="63"/>
    </row>
    <row r="985">
      <c r="L985" s="63"/>
    </row>
    <row r="986">
      <c r="L986" s="63"/>
    </row>
    <row r="987">
      <c r="L987" s="63"/>
    </row>
    <row r="988">
      <c r="L988" s="63"/>
    </row>
    <row r="989">
      <c r="L989" s="63"/>
    </row>
    <row r="990">
      <c r="L990" s="63"/>
    </row>
    <row r="991">
      <c r="L991" s="63"/>
    </row>
    <row r="992">
      <c r="L992" s="63"/>
    </row>
    <row r="993">
      <c r="L993" s="63"/>
    </row>
    <row r="994">
      <c r="L994" s="63"/>
    </row>
    <row r="995">
      <c r="L995" s="63"/>
    </row>
    <row r="996">
      <c r="L996" s="63"/>
    </row>
    <row r="997">
      <c r="L997" s="63"/>
    </row>
    <row r="998">
      <c r="L998" s="63"/>
    </row>
    <row r="999">
      <c r="L999" s="63"/>
    </row>
    <row r="1000">
      <c r="L1000" s="63"/>
    </row>
    <row r="1001">
      <c r="L1001" s="63"/>
    </row>
    <row r="1002">
      <c r="L1002" s="63"/>
    </row>
    <row r="1003">
      <c r="L1003" s="63"/>
    </row>
    <row r="1004">
      <c r="L1004" s="63"/>
    </row>
    <row r="1005">
      <c r="L1005" s="63"/>
    </row>
    <row r="1006">
      <c r="L1006" s="63"/>
    </row>
    <row r="1007">
      <c r="L1007" s="63"/>
    </row>
    <row r="1008">
      <c r="L1008" s="63"/>
    </row>
    <row r="1009">
      <c r="L1009" s="63"/>
    </row>
    <row r="1010">
      <c r="L1010" s="63"/>
    </row>
    <row r="1011">
      <c r="L1011" s="63"/>
    </row>
    <row r="1012">
      <c r="L1012" s="63"/>
    </row>
    <row r="1013">
      <c r="L1013" s="63"/>
    </row>
    <row r="1014">
      <c r="L1014" s="63"/>
    </row>
    <row r="1015">
      <c r="L1015" s="63"/>
    </row>
    <row r="1016">
      <c r="L1016" s="63"/>
    </row>
    <row r="1017">
      <c r="L1017" s="63"/>
    </row>
    <row r="1018">
      <c r="L1018" s="63"/>
    </row>
    <row r="1019">
      <c r="L1019" s="63"/>
    </row>
    <row r="1020">
      <c r="L1020" s="63"/>
    </row>
    <row r="1021">
      <c r="L1021" s="63"/>
    </row>
    <row r="1022">
      <c r="L1022" s="63"/>
    </row>
    <row r="1023">
      <c r="L1023" s="63"/>
    </row>
    <row r="1024">
      <c r="L1024" s="63"/>
    </row>
    <row r="1025">
      <c r="L1025" s="63"/>
    </row>
    <row r="1026">
      <c r="L1026" s="63"/>
    </row>
    <row r="1027">
      <c r="L1027" s="63"/>
    </row>
    <row r="1028">
      <c r="L1028" s="63"/>
    </row>
    <row r="1029">
      <c r="L1029" s="63"/>
    </row>
    <row r="1030">
      <c r="L1030" s="63"/>
    </row>
    <row r="1031">
      <c r="L1031" s="63"/>
    </row>
    <row r="1032">
      <c r="L1032" s="63"/>
    </row>
    <row r="1033">
      <c r="L1033" s="63"/>
    </row>
    <row r="1034">
      <c r="L1034" s="63"/>
    </row>
    <row r="1035">
      <c r="L1035" s="63"/>
    </row>
    <row r="1036">
      <c r="L1036" s="63"/>
    </row>
    <row r="1037">
      <c r="L1037" s="63"/>
    </row>
    <row r="1038">
      <c r="L1038" s="63"/>
    </row>
    <row r="1039">
      <c r="L1039" s="63"/>
    </row>
    <row r="1040">
      <c r="L1040" s="63"/>
    </row>
    <row r="1041">
      <c r="L1041" s="63"/>
    </row>
    <row r="1042">
      <c r="L1042" s="63"/>
    </row>
    <row r="1043">
      <c r="L1043" s="63"/>
    </row>
    <row r="1044">
      <c r="L1044" s="63"/>
    </row>
    <row r="1045">
      <c r="L1045" s="63"/>
    </row>
    <row r="1046">
      <c r="L1046" s="63"/>
    </row>
    <row r="1047">
      <c r="L1047" s="63"/>
    </row>
    <row r="1048">
      <c r="L1048" s="63"/>
    </row>
    <row r="1049">
      <c r="L1049" s="63"/>
    </row>
    <row r="1050">
      <c r="L1050" s="63"/>
    </row>
    <row r="1051">
      <c r="L1051" s="63"/>
    </row>
    <row r="1052">
      <c r="L1052" s="63"/>
    </row>
    <row r="1053">
      <c r="L1053" s="63"/>
    </row>
    <row r="1054">
      <c r="L1054" s="63"/>
    </row>
    <row r="1055">
      <c r="L1055" s="63"/>
    </row>
    <row r="1056">
      <c r="L1056" s="63"/>
    </row>
    <row r="1057">
      <c r="L1057" s="63"/>
    </row>
    <row r="1058">
      <c r="L1058" s="63"/>
    </row>
    <row r="1059">
      <c r="L1059" s="63"/>
    </row>
    <row r="1060">
      <c r="L1060" s="63"/>
    </row>
    <row r="1061">
      <c r="L1061" s="63"/>
    </row>
    <row r="1062">
      <c r="L1062" s="63"/>
    </row>
    <row r="1063">
      <c r="L1063" s="63"/>
    </row>
    <row r="1064">
      <c r="L1064" s="63"/>
    </row>
    <row r="1065">
      <c r="L1065" s="63"/>
    </row>
    <row r="1066">
      <c r="L1066" s="63"/>
    </row>
    <row r="1067">
      <c r="L1067" s="63"/>
    </row>
    <row r="1068">
      <c r="L1068" s="63"/>
    </row>
    <row r="1069">
      <c r="L1069" s="63"/>
    </row>
    <row r="1070">
      <c r="L1070" s="63"/>
    </row>
    <row r="1071">
      <c r="L1071" s="63"/>
    </row>
    <row r="1072">
      <c r="L1072" s="63"/>
    </row>
    <row r="1073">
      <c r="L1073" s="63"/>
    </row>
    <row r="1074">
      <c r="L1074" s="63"/>
    </row>
    <row r="1075">
      <c r="L1075" s="63"/>
    </row>
    <row r="1076">
      <c r="L1076" s="63"/>
    </row>
    <row r="1077">
      <c r="L1077" s="63"/>
    </row>
    <row r="1078">
      <c r="L1078" s="63"/>
    </row>
    <row r="1079">
      <c r="L1079" s="63"/>
    </row>
    <row r="1080">
      <c r="L1080" s="63"/>
    </row>
    <row r="1081">
      <c r="L1081" s="63"/>
    </row>
    <row r="1082">
      <c r="L1082" s="63"/>
    </row>
    <row r="1083">
      <c r="L1083" s="63"/>
    </row>
    <row r="1084">
      <c r="L1084" s="63"/>
    </row>
    <row r="1085">
      <c r="L1085" s="63"/>
    </row>
    <row r="1086">
      <c r="L1086" s="63"/>
    </row>
    <row r="1087">
      <c r="L1087" s="63"/>
    </row>
    <row r="1088">
      <c r="L1088" s="63"/>
    </row>
    <row r="1089">
      <c r="L1089" s="63"/>
    </row>
    <row r="1090">
      <c r="L1090" s="63"/>
    </row>
    <row r="1091">
      <c r="L1091" s="63"/>
    </row>
    <row r="1092">
      <c r="L1092" s="63"/>
    </row>
    <row r="1093">
      <c r="L1093" s="63"/>
    </row>
    <row r="1094">
      <c r="L1094" s="63"/>
    </row>
    <row r="1095">
      <c r="L1095" s="63"/>
    </row>
    <row r="1096">
      <c r="L1096" s="63"/>
    </row>
    <row r="1097">
      <c r="L1097" s="63"/>
    </row>
    <row r="1098">
      <c r="L1098" s="63"/>
    </row>
    <row r="1099">
      <c r="L1099" s="63"/>
    </row>
    <row r="1100">
      <c r="L1100" s="63"/>
    </row>
    <row r="1101">
      <c r="L1101" s="63"/>
    </row>
    <row r="1102">
      <c r="L1102" s="63"/>
    </row>
    <row r="1103">
      <c r="L1103" s="63"/>
    </row>
    <row r="1104">
      <c r="L1104" s="63"/>
    </row>
    <row r="1105">
      <c r="L1105" s="63"/>
    </row>
    <row r="1106">
      <c r="L1106" s="63"/>
    </row>
    <row r="1107">
      <c r="L1107" s="63"/>
    </row>
    <row r="1108">
      <c r="L1108" s="63"/>
    </row>
    <row r="1109">
      <c r="L1109" s="63"/>
    </row>
    <row r="1110">
      <c r="L1110" s="63"/>
    </row>
    <row r="1111">
      <c r="L1111" s="63"/>
    </row>
    <row r="1112">
      <c r="L1112" s="63"/>
    </row>
    <row r="1113">
      <c r="L1113" s="63"/>
    </row>
    <row r="1114">
      <c r="L1114" s="63"/>
    </row>
    <row r="1115">
      <c r="L1115" s="63"/>
    </row>
    <row r="1116">
      <c r="L1116" s="63"/>
    </row>
    <row r="1117">
      <c r="L1117" s="63"/>
    </row>
    <row r="1118">
      <c r="L1118" s="63"/>
    </row>
    <row r="1119">
      <c r="L1119" s="63"/>
    </row>
    <row r="1120">
      <c r="L1120" s="63"/>
    </row>
    <row r="1121">
      <c r="L1121" s="63"/>
    </row>
    <row r="1122">
      <c r="L1122" s="63"/>
    </row>
    <row r="1123">
      <c r="L1123" s="63"/>
    </row>
    <row r="1124">
      <c r="L1124" s="63"/>
    </row>
    <row r="1125">
      <c r="L1125" s="63"/>
    </row>
    <row r="1126">
      <c r="L1126" s="63"/>
    </row>
    <row r="1127">
      <c r="L1127" s="63"/>
    </row>
    <row r="1128">
      <c r="L1128" s="63"/>
    </row>
    <row r="1129">
      <c r="L1129" s="63"/>
    </row>
    <row r="1130">
      <c r="L1130" s="63"/>
    </row>
    <row r="1131">
      <c r="L1131" s="63"/>
    </row>
    <row r="1132">
      <c r="L1132" s="63"/>
    </row>
    <row r="1133">
      <c r="L1133" s="63"/>
    </row>
    <row r="1134">
      <c r="L1134" s="63"/>
    </row>
    <row r="1135">
      <c r="L1135" s="63"/>
    </row>
    <row r="1136">
      <c r="L1136" s="63"/>
    </row>
    <row r="1137">
      <c r="L1137" s="63"/>
    </row>
    <row r="1138">
      <c r="L1138" s="63"/>
    </row>
    <row r="1139">
      <c r="L1139" s="63"/>
    </row>
    <row r="1140">
      <c r="L1140" s="63"/>
    </row>
    <row r="1141">
      <c r="L1141" s="63"/>
    </row>
    <row r="1142">
      <c r="L1142" s="63"/>
    </row>
    <row r="1143">
      <c r="L1143" s="63"/>
    </row>
    <row r="1144">
      <c r="L1144" s="63"/>
    </row>
    <row r="1145">
      <c r="L1145" s="63"/>
    </row>
    <row r="1146">
      <c r="L1146" s="63"/>
    </row>
    <row r="1147">
      <c r="L1147" s="63"/>
    </row>
    <row r="1148">
      <c r="L1148" s="63"/>
    </row>
    <row r="1149">
      <c r="L1149" s="63"/>
    </row>
    <row r="1150">
      <c r="L1150" s="63"/>
    </row>
    <row r="1151">
      <c r="L1151" s="63"/>
    </row>
    <row r="1152">
      <c r="L1152" s="63"/>
    </row>
    <row r="1153">
      <c r="L1153" s="63"/>
    </row>
    <row r="1154">
      <c r="L1154" s="63"/>
    </row>
    <row r="1155">
      <c r="L1155" s="63"/>
    </row>
    <row r="1156">
      <c r="L1156" s="63"/>
    </row>
    <row r="1157">
      <c r="L1157" s="63"/>
    </row>
    <row r="1158">
      <c r="L1158" s="63"/>
    </row>
    <row r="1159">
      <c r="L1159" s="63"/>
    </row>
    <row r="1160">
      <c r="L1160" s="63"/>
    </row>
    <row r="1161">
      <c r="L1161" s="63"/>
    </row>
    <row r="1162">
      <c r="L1162" s="63"/>
    </row>
    <row r="1163">
      <c r="L1163" s="63"/>
    </row>
    <row r="1164">
      <c r="L1164" s="63"/>
    </row>
    <row r="1165">
      <c r="L1165" s="63"/>
    </row>
    <row r="1166">
      <c r="L1166" s="63"/>
    </row>
    <row r="1167">
      <c r="L1167" s="63"/>
    </row>
    <row r="1168">
      <c r="L1168" s="63"/>
    </row>
    <row r="1169">
      <c r="L1169" s="63"/>
    </row>
    <row r="1170">
      <c r="L1170" s="63"/>
    </row>
    <row r="1171">
      <c r="L1171" s="63"/>
    </row>
    <row r="1172">
      <c r="L1172" s="63"/>
    </row>
    <row r="1173">
      <c r="L1173" s="63"/>
    </row>
    <row r="1174">
      <c r="L1174" s="63"/>
    </row>
    <row r="1175">
      <c r="L1175" s="63"/>
    </row>
    <row r="1176">
      <c r="L1176" s="63"/>
    </row>
    <row r="1177">
      <c r="L1177" s="63"/>
    </row>
    <row r="1178">
      <c r="L1178" s="63"/>
    </row>
    <row r="1179">
      <c r="L1179" s="63"/>
    </row>
    <row r="1180">
      <c r="L1180" s="63"/>
    </row>
    <row r="1181">
      <c r="L1181" s="63"/>
    </row>
    <row r="1182">
      <c r="L1182" s="63"/>
    </row>
    <row r="1183">
      <c r="L1183" s="63"/>
    </row>
    <row r="1184">
      <c r="L1184" s="63"/>
    </row>
    <row r="1185">
      <c r="L1185" s="63"/>
    </row>
    <row r="1186">
      <c r="L1186" s="63"/>
    </row>
    <row r="1187">
      <c r="L1187" s="63"/>
    </row>
    <row r="1188">
      <c r="L1188" s="63"/>
    </row>
    <row r="1189">
      <c r="L1189" s="63"/>
    </row>
    <row r="1190">
      <c r="L1190" s="63"/>
    </row>
    <row r="1191">
      <c r="L1191" s="63"/>
    </row>
    <row r="1192">
      <c r="L1192" s="63"/>
    </row>
    <row r="1193">
      <c r="L1193" s="63"/>
    </row>
    <row r="1194">
      <c r="L1194" s="63"/>
    </row>
    <row r="1195">
      <c r="L1195" s="63"/>
    </row>
    <row r="1196">
      <c r="L1196" s="63"/>
    </row>
    <row r="1197">
      <c r="L1197" s="63"/>
    </row>
    <row r="1198">
      <c r="L1198" s="63"/>
    </row>
    <row r="1199">
      <c r="L1199" s="63"/>
    </row>
    <row r="1200">
      <c r="L1200" s="63"/>
    </row>
    <row r="1201">
      <c r="L1201" s="63"/>
    </row>
    <row r="1202">
      <c r="L1202" s="63"/>
    </row>
    <row r="1203">
      <c r="L1203" s="63"/>
    </row>
    <row r="1204">
      <c r="L1204" s="63"/>
    </row>
    <row r="1205">
      <c r="L1205" s="63"/>
    </row>
    <row r="1206">
      <c r="L1206" s="63"/>
    </row>
    <row r="1207">
      <c r="L1207" s="63"/>
    </row>
    <row r="1208">
      <c r="L1208" s="63"/>
    </row>
    <row r="1209">
      <c r="L1209" s="63"/>
    </row>
    <row r="1210">
      <c r="L1210" s="63"/>
    </row>
    <row r="1211">
      <c r="L1211" s="63"/>
    </row>
    <row r="1212">
      <c r="L1212" s="63"/>
    </row>
    <row r="1213">
      <c r="L1213" s="63"/>
    </row>
    <row r="1214">
      <c r="L1214" s="63"/>
    </row>
    <row r="1215">
      <c r="L1215" s="63"/>
    </row>
    <row r="1216">
      <c r="L1216" s="63"/>
    </row>
    <row r="1217">
      <c r="L1217" s="63"/>
    </row>
    <row r="1218">
      <c r="L1218" s="63"/>
    </row>
    <row r="1219">
      <c r="L1219" s="63"/>
    </row>
    <row r="1220">
      <c r="L1220" s="63"/>
    </row>
    <row r="1221">
      <c r="L1221" s="63"/>
    </row>
    <row r="1222">
      <c r="L1222" s="63"/>
    </row>
    <row r="1223">
      <c r="L1223" s="63"/>
    </row>
    <row r="1224">
      <c r="L1224" s="63"/>
    </row>
    <row r="1225">
      <c r="L1225" s="63"/>
    </row>
    <row r="1226">
      <c r="L1226" s="63"/>
    </row>
    <row r="1227">
      <c r="L1227" s="63"/>
    </row>
    <row r="1228">
      <c r="L1228" s="63"/>
    </row>
    <row r="1229">
      <c r="L1229" s="63"/>
    </row>
    <row r="1230">
      <c r="L1230" s="63"/>
    </row>
    <row r="1231">
      <c r="L1231" s="63"/>
    </row>
    <row r="1232">
      <c r="L1232" s="63"/>
    </row>
    <row r="1233">
      <c r="L1233" s="63"/>
    </row>
    <row r="1234">
      <c r="L1234" s="63"/>
    </row>
    <row r="1235">
      <c r="L1235" s="63"/>
    </row>
    <row r="1236">
      <c r="L1236" s="63"/>
    </row>
    <row r="1237">
      <c r="L1237" s="63"/>
    </row>
    <row r="1238">
      <c r="L1238" s="63"/>
    </row>
    <row r="1239">
      <c r="L1239" s="63"/>
    </row>
    <row r="1240">
      <c r="L1240" s="63"/>
    </row>
    <row r="1241">
      <c r="L1241" s="63"/>
    </row>
    <row r="1242">
      <c r="L1242" s="63"/>
    </row>
    <row r="1243">
      <c r="L1243" s="63"/>
    </row>
    <row r="1244">
      <c r="L1244" s="63"/>
    </row>
    <row r="1245">
      <c r="L1245" s="63"/>
    </row>
    <row r="1246">
      <c r="L1246" s="63"/>
    </row>
    <row r="1247">
      <c r="L1247" s="63"/>
    </row>
    <row r="1248">
      <c r="L1248" s="63"/>
    </row>
    <row r="1249">
      <c r="L1249" s="63"/>
    </row>
    <row r="1250">
      <c r="L1250" s="63"/>
    </row>
    <row r="1251">
      <c r="L1251" s="63"/>
    </row>
    <row r="1252">
      <c r="L1252" s="63"/>
    </row>
    <row r="1253">
      <c r="L1253" s="63"/>
    </row>
    <row r="1254">
      <c r="L1254" s="63"/>
    </row>
    <row r="1255">
      <c r="L1255" s="63"/>
    </row>
    <row r="1256">
      <c r="L1256" s="63"/>
    </row>
    <row r="1257">
      <c r="L1257" s="63"/>
    </row>
    <row r="1258">
      <c r="L1258" s="63"/>
    </row>
    <row r="1259">
      <c r="L1259" s="63"/>
    </row>
    <row r="1260">
      <c r="L1260" s="63"/>
    </row>
    <row r="1261">
      <c r="L1261" s="63"/>
    </row>
    <row r="1262">
      <c r="L1262" s="63"/>
    </row>
    <row r="1263">
      <c r="L1263" s="63"/>
    </row>
    <row r="1264">
      <c r="L1264" s="63"/>
    </row>
    <row r="1265">
      <c r="L1265" s="63"/>
    </row>
    <row r="1266">
      <c r="L1266" s="63"/>
    </row>
    <row r="1267">
      <c r="L1267" s="63"/>
    </row>
    <row r="1268">
      <c r="L1268" s="63"/>
    </row>
    <row r="1269">
      <c r="L1269" s="63"/>
    </row>
    <row r="1270">
      <c r="L1270" s="63"/>
    </row>
    <row r="1271">
      <c r="L1271" s="63"/>
    </row>
    <row r="1272">
      <c r="L1272" s="63"/>
    </row>
    <row r="1273">
      <c r="L1273" s="63"/>
    </row>
    <row r="1274">
      <c r="L1274" s="63"/>
    </row>
    <row r="1275">
      <c r="L1275" s="63"/>
    </row>
    <row r="1276">
      <c r="L1276" s="63"/>
    </row>
    <row r="1277">
      <c r="L1277" s="63"/>
    </row>
    <row r="1278">
      <c r="L1278" s="63"/>
    </row>
    <row r="1279">
      <c r="L1279" s="63"/>
    </row>
    <row r="1280">
      <c r="L1280" s="63"/>
    </row>
    <row r="1281">
      <c r="L1281" s="63"/>
    </row>
    <row r="1282">
      <c r="L1282" s="63"/>
    </row>
    <row r="1283">
      <c r="L1283" s="63"/>
    </row>
    <row r="1284">
      <c r="L1284" s="63"/>
    </row>
    <row r="1285">
      <c r="L1285" s="63"/>
    </row>
    <row r="1286">
      <c r="L1286" s="63"/>
    </row>
    <row r="1287">
      <c r="L1287" s="63"/>
    </row>
    <row r="1288">
      <c r="L1288" s="63"/>
    </row>
    <row r="1289">
      <c r="L1289" s="63"/>
    </row>
    <row r="1290">
      <c r="L1290" s="63"/>
    </row>
    <row r="1291">
      <c r="L1291" s="63"/>
    </row>
    <row r="1292">
      <c r="L1292" s="63"/>
    </row>
    <row r="1293">
      <c r="L1293" s="63"/>
    </row>
    <row r="1294">
      <c r="L1294" s="63"/>
    </row>
    <row r="1295">
      <c r="L1295" s="63"/>
    </row>
    <row r="1296">
      <c r="L1296" s="63"/>
    </row>
    <row r="1297">
      <c r="L1297" s="63"/>
    </row>
    <row r="1298">
      <c r="L1298" s="63"/>
    </row>
    <row r="1299">
      <c r="L1299" s="63"/>
    </row>
    <row r="1300">
      <c r="L1300" s="63"/>
    </row>
    <row r="1301">
      <c r="L1301" s="63"/>
    </row>
    <row r="1302">
      <c r="L1302" s="63"/>
    </row>
    <row r="1303">
      <c r="L1303" s="63"/>
    </row>
    <row r="1304">
      <c r="L1304" s="63"/>
    </row>
    <row r="1305">
      <c r="L1305" s="63"/>
    </row>
    <row r="1306">
      <c r="L1306" s="63"/>
    </row>
    <row r="1307">
      <c r="L1307" s="63"/>
    </row>
    <row r="1308">
      <c r="L1308" s="63"/>
    </row>
    <row r="1309">
      <c r="L1309" s="63"/>
    </row>
    <row r="1310">
      <c r="L1310" s="63"/>
    </row>
    <row r="1311">
      <c r="L1311" s="63"/>
    </row>
    <row r="1312">
      <c r="L1312" s="63"/>
    </row>
    <row r="1313">
      <c r="L1313" s="63"/>
    </row>
    <row r="1314">
      <c r="L1314" s="63"/>
    </row>
    <row r="1315">
      <c r="L1315" s="63"/>
    </row>
    <row r="1316">
      <c r="L1316" s="63"/>
    </row>
    <row r="1317">
      <c r="L1317" s="63"/>
    </row>
    <row r="1318">
      <c r="L1318" s="63"/>
    </row>
    <row r="1319">
      <c r="L1319" s="63"/>
    </row>
    <row r="1320">
      <c r="L1320" s="63"/>
    </row>
    <row r="1321">
      <c r="L1321" s="63"/>
    </row>
    <row r="1322">
      <c r="L1322" s="63"/>
    </row>
    <row r="1323">
      <c r="L1323" s="63"/>
    </row>
    <row r="1324">
      <c r="L1324" s="63"/>
    </row>
    <row r="1325">
      <c r="L1325" s="63"/>
    </row>
    <row r="1326">
      <c r="L1326" s="63"/>
    </row>
    <row r="1327">
      <c r="L1327" s="63"/>
    </row>
    <row r="1328">
      <c r="L1328" s="63"/>
    </row>
    <row r="1329">
      <c r="L1329" s="63"/>
    </row>
    <row r="1330">
      <c r="L1330" s="63"/>
    </row>
    <row r="1331">
      <c r="L1331" s="63"/>
    </row>
    <row r="1332">
      <c r="L1332" s="63"/>
    </row>
    <row r="1333">
      <c r="L1333" s="63"/>
    </row>
    <row r="1334">
      <c r="L1334" s="63"/>
    </row>
    <row r="1335">
      <c r="L1335" s="63"/>
    </row>
    <row r="1336">
      <c r="L1336" s="63"/>
    </row>
    <row r="1337">
      <c r="L1337" s="63"/>
    </row>
    <row r="1338">
      <c r="L1338" s="63"/>
    </row>
    <row r="1339">
      <c r="L1339" s="63"/>
    </row>
    <row r="1340">
      <c r="L1340" s="63"/>
    </row>
    <row r="1341">
      <c r="L1341" s="63"/>
    </row>
    <row r="1342">
      <c r="L1342" s="63"/>
    </row>
    <row r="1343">
      <c r="L1343" s="63"/>
    </row>
    <row r="1344">
      <c r="L1344" s="63"/>
    </row>
    <row r="1345">
      <c r="L1345" s="63"/>
    </row>
    <row r="1346">
      <c r="L1346" s="63"/>
    </row>
    <row r="1347">
      <c r="L1347" s="63"/>
    </row>
    <row r="1348">
      <c r="L1348" s="63"/>
    </row>
    <row r="1349">
      <c r="L1349" s="63"/>
    </row>
    <row r="1350">
      <c r="L1350" s="63"/>
    </row>
    <row r="1351">
      <c r="L1351" s="63"/>
    </row>
    <row r="1352">
      <c r="L1352" s="63"/>
    </row>
    <row r="1353">
      <c r="L1353" s="63"/>
    </row>
    <row r="1354">
      <c r="L1354" s="63"/>
    </row>
    <row r="1355">
      <c r="L1355" s="63"/>
    </row>
    <row r="1356">
      <c r="L1356" s="63"/>
    </row>
    <row r="1357">
      <c r="L1357" s="63"/>
    </row>
    <row r="1358">
      <c r="L1358" s="63"/>
    </row>
    <row r="1359">
      <c r="L1359" s="63"/>
    </row>
    <row r="1360">
      <c r="L1360" s="63"/>
    </row>
    <row r="1361">
      <c r="L1361" s="63"/>
    </row>
    <row r="1362">
      <c r="L1362" s="63"/>
    </row>
    <row r="1363">
      <c r="L1363" s="63"/>
    </row>
    <row r="1364">
      <c r="L1364" s="63"/>
    </row>
    <row r="1365">
      <c r="L1365" s="63"/>
    </row>
    <row r="1366">
      <c r="L1366" s="63"/>
    </row>
    <row r="1367">
      <c r="L1367" s="63"/>
    </row>
    <row r="1368">
      <c r="L1368" s="63"/>
    </row>
    <row r="1369">
      <c r="L1369" s="63"/>
    </row>
    <row r="1370">
      <c r="L1370" s="63"/>
    </row>
    <row r="1371">
      <c r="L1371" s="63"/>
    </row>
    <row r="1372">
      <c r="L1372" s="63"/>
    </row>
    <row r="1373">
      <c r="L1373" s="63"/>
    </row>
    <row r="1374">
      <c r="L1374" s="63"/>
    </row>
    <row r="1375">
      <c r="L1375" s="63"/>
    </row>
    <row r="1376">
      <c r="L1376" s="63"/>
    </row>
    <row r="1377">
      <c r="L1377" s="63"/>
    </row>
    <row r="1378">
      <c r="L1378" s="63"/>
    </row>
    <row r="1379">
      <c r="L1379" s="63"/>
    </row>
    <row r="1380">
      <c r="L1380" s="63"/>
    </row>
    <row r="1381">
      <c r="L1381" s="63"/>
    </row>
    <row r="1382">
      <c r="L1382" s="63"/>
    </row>
    <row r="1383">
      <c r="L1383" s="63"/>
    </row>
    <row r="1384">
      <c r="L1384" s="63"/>
    </row>
    <row r="1385">
      <c r="L1385" s="63"/>
    </row>
    <row r="1386">
      <c r="L1386" s="63"/>
    </row>
    <row r="1387">
      <c r="L1387" s="63"/>
    </row>
    <row r="1388">
      <c r="L1388" s="63"/>
    </row>
    <row r="1389">
      <c r="L1389" s="63"/>
    </row>
    <row r="1390">
      <c r="L1390" s="63"/>
    </row>
    <row r="1391">
      <c r="L1391" s="63"/>
    </row>
    <row r="1392">
      <c r="L1392" s="63"/>
    </row>
    <row r="1393">
      <c r="L1393" s="63"/>
    </row>
    <row r="1394">
      <c r="L1394" s="63"/>
    </row>
    <row r="1395">
      <c r="L1395" s="63"/>
    </row>
    <row r="1396">
      <c r="L1396" s="63"/>
    </row>
    <row r="1397">
      <c r="L1397" s="63"/>
    </row>
    <row r="1398">
      <c r="L1398" s="63"/>
    </row>
    <row r="1399">
      <c r="L1399" s="63"/>
    </row>
    <row r="1400">
      <c r="L1400" s="63"/>
    </row>
    <row r="1401">
      <c r="L1401" s="63"/>
    </row>
    <row r="1402">
      <c r="L1402" s="63"/>
    </row>
    <row r="1403">
      <c r="L1403" s="63"/>
    </row>
    <row r="1404">
      <c r="L1404" s="63"/>
    </row>
    <row r="1405">
      <c r="L1405" s="63"/>
    </row>
    <row r="1406">
      <c r="L1406" s="63"/>
    </row>
    <row r="1407">
      <c r="L1407" s="63"/>
    </row>
    <row r="1408">
      <c r="L1408" s="63"/>
    </row>
    <row r="1409">
      <c r="L1409" s="63"/>
    </row>
    <row r="1410">
      <c r="L1410" s="63"/>
    </row>
    <row r="1411">
      <c r="L1411" s="63"/>
    </row>
    <row r="1412">
      <c r="L1412" s="63"/>
    </row>
    <row r="1413">
      <c r="L1413" s="63"/>
    </row>
    <row r="1414">
      <c r="L1414" s="63"/>
    </row>
    <row r="1415">
      <c r="L1415" s="63"/>
    </row>
    <row r="1416">
      <c r="L1416" s="63"/>
    </row>
    <row r="1417">
      <c r="L1417" s="63"/>
    </row>
    <row r="1418">
      <c r="L1418" s="63"/>
    </row>
    <row r="1419">
      <c r="L1419" s="63"/>
    </row>
    <row r="1420">
      <c r="L1420" s="63"/>
    </row>
    <row r="1421">
      <c r="L1421" s="63"/>
    </row>
    <row r="1422">
      <c r="L1422" s="63"/>
    </row>
    <row r="1423">
      <c r="L1423" s="63"/>
    </row>
    <row r="1424">
      <c r="L1424" s="63"/>
    </row>
    <row r="1425">
      <c r="L1425" s="63"/>
    </row>
    <row r="1426">
      <c r="L1426" s="63"/>
    </row>
    <row r="1427">
      <c r="L1427" s="63"/>
    </row>
    <row r="1428">
      <c r="L1428" s="63"/>
    </row>
    <row r="1429">
      <c r="L1429" s="63"/>
    </row>
    <row r="1430">
      <c r="L1430" s="63"/>
    </row>
    <row r="1431">
      <c r="L1431" s="63"/>
    </row>
    <row r="1432">
      <c r="L1432" s="63"/>
    </row>
    <row r="1433">
      <c r="L1433" s="63"/>
    </row>
    <row r="1434">
      <c r="L1434" s="63"/>
    </row>
    <row r="1435">
      <c r="L1435" s="63"/>
    </row>
    <row r="1436">
      <c r="L1436" s="63"/>
    </row>
    <row r="1437">
      <c r="L1437" s="63"/>
    </row>
    <row r="1438">
      <c r="L1438" s="63"/>
    </row>
    <row r="1439">
      <c r="L1439" s="63"/>
    </row>
    <row r="1440">
      <c r="L1440" s="63"/>
    </row>
    <row r="1441">
      <c r="L1441" s="63"/>
    </row>
    <row r="1442">
      <c r="L1442" s="63"/>
    </row>
    <row r="1443">
      <c r="L1443" s="63"/>
    </row>
    <row r="1444">
      <c r="L1444" s="63"/>
    </row>
    <row r="1445">
      <c r="L1445" s="63"/>
    </row>
    <row r="1446">
      <c r="L1446" s="63"/>
    </row>
    <row r="1447">
      <c r="L1447" s="63"/>
    </row>
    <row r="1448">
      <c r="L1448" s="63"/>
    </row>
    <row r="1449">
      <c r="L1449" s="63"/>
    </row>
    <row r="1450">
      <c r="L1450" s="63"/>
    </row>
    <row r="1451">
      <c r="L1451" s="63"/>
    </row>
    <row r="1452">
      <c r="L1452" s="63"/>
    </row>
    <row r="1453">
      <c r="L1453" s="63"/>
    </row>
    <row r="1454">
      <c r="L1454" s="63"/>
    </row>
  </sheetData>
  <autoFilter ref="$A$1:$V$758"/>
  <customSheetViews>
    <customSheetView guid="{903C50A8-AD16-42CC-B57C-ACA124F0D9CD}" filter="1" showAutoFilter="1">
      <autoFilter ref="$A$2:$U$733">
        <filterColumn colId="12">
          <colorFilter cellColor="0" dxfId="1"/>
        </filterColumn>
      </autoFilter>
    </customSheetView>
  </customSheetViews>
  <conditionalFormatting sqref="M528 M759:M1454">
    <cfRule type="expression" dxfId="2" priority="1">
      <formula>countif(M528:M1454,#REF!)&gt;1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5.57"/>
    <col customWidth="1" min="3" max="3" width="11.43"/>
    <col customWidth="1" min="4" max="4" width="12.29"/>
    <col customWidth="1" min="5" max="5" width="11.57"/>
    <col customWidth="1" min="6" max="6" width="19.14"/>
    <col customWidth="1" min="7" max="7" width="23.0"/>
    <col customWidth="1" min="9" max="9" width="16.57"/>
    <col customWidth="1" min="10" max="10" width="25.57"/>
    <col customWidth="1" min="11" max="11" width="31.86"/>
    <col customWidth="1" min="12" max="12" width="28.71"/>
    <col customWidth="1" min="13" max="13" width="33.29"/>
    <col customWidth="1" min="14" max="14" width="21.0"/>
    <col customWidth="1" min="15" max="15" width="24.57"/>
    <col customWidth="1" min="16" max="16" width="26.0"/>
    <col customWidth="1" min="17" max="17" width="31.43"/>
    <col customWidth="1" min="21" max="21" width="43.57"/>
  </cols>
  <sheetData>
    <row r="1">
      <c r="A1" s="64" t="s">
        <v>0</v>
      </c>
      <c r="B1" s="65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7" t="s">
        <v>10</v>
      </c>
      <c r="K1" s="66" t="s">
        <v>11</v>
      </c>
      <c r="L1" s="68" t="s">
        <v>12</v>
      </c>
      <c r="M1" s="69" t="s">
        <v>13</v>
      </c>
      <c r="N1" s="70" t="s">
        <v>14</v>
      </c>
      <c r="O1" s="70" t="s">
        <v>15</v>
      </c>
      <c r="P1" s="70" t="s">
        <v>16</v>
      </c>
      <c r="Q1" s="70" t="s">
        <v>17</v>
      </c>
      <c r="R1" s="70" t="s">
        <v>18</v>
      </c>
      <c r="S1" s="70" t="s">
        <v>19</v>
      </c>
      <c r="T1" s="70" t="s">
        <v>20</v>
      </c>
      <c r="U1" s="70" t="s">
        <v>21</v>
      </c>
    </row>
    <row r="2" hidden="1">
      <c r="A2" s="19">
        <v>5.906485301012E12</v>
      </c>
      <c r="B2" s="20" t="s">
        <v>4922</v>
      </c>
      <c r="C2" s="21">
        <v>0.053</v>
      </c>
      <c r="D2" s="21">
        <v>0.134</v>
      </c>
      <c r="E2" s="21">
        <v>0.053</v>
      </c>
      <c r="F2" s="22">
        <v>6.0</v>
      </c>
      <c r="G2" s="23"/>
      <c r="H2" s="20" t="s">
        <v>4923</v>
      </c>
      <c r="I2" s="21" t="s">
        <v>4923</v>
      </c>
      <c r="J2" s="24" t="s">
        <v>4924</v>
      </c>
      <c r="K2" s="21" t="s">
        <v>4925</v>
      </c>
      <c r="L2" s="25" t="s">
        <v>4926</v>
      </c>
      <c r="M2" s="26" t="s">
        <v>28</v>
      </c>
      <c r="N2" s="24" t="s">
        <v>340</v>
      </c>
      <c r="O2" s="24" t="s">
        <v>449</v>
      </c>
      <c r="P2" s="27"/>
      <c r="Q2" s="27"/>
      <c r="R2" s="31" t="s">
        <v>4927</v>
      </c>
      <c r="S2" s="33" t="s">
        <v>4928</v>
      </c>
      <c r="T2" s="29" t="s">
        <v>4923</v>
      </c>
      <c r="U2" s="24"/>
    </row>
    <row r="3" hidden="1">
      <c r="A3" s="30">
        <v>5.902198160403E12</v>
      </c>
      <c r="B3" s="20" t="s">
        <v>4948</v>
      </c>
      <c r="C3" s="21">
        <v>0.053</v>
      </c>
      <c r="D3" s="21">
        <v>0.134</v>
      </c>
      <c r="E3" s="21">
        <v>0.053</v>
      </c>
      <c r="F3" s="22">
        <v>6.0</v>
      </c>
      <c r="G3" s="23"/>
      <c r="H3" s="20" t="s">
        <v>4930</v>
      </c>
      <c r="I3" s="21" t="s">
        <v>4930</v>
      </c>
      <c r="J3" s="24" t="s">
        <v>4949</v>
      </c>
      <c r="K3" s="21" t="s">
        <v>4950</v>
      </c>
      <c r="L3" s="25" t="s">
        <v>4951</v>
      </c>
      <c r="M3" s="26" t="s">
        <v>28</v>
      </c>
      <c r="N3" s="24" t="s">
        <v>340</v>
      </c>
      <c r="O3" s="24" t="s">
        <v>449</v>
      </c>
      <c r="P3" s="27"/>
      <c r="Q3" s="27"/>
      <c r="R3" s="28" t="s">
        <v>4952</v>
      </c>
      <c r="S3" s="8" t="s">
        <v>4953</v>
      </c>
      <c r="T3" s="29" t="s">
        <v>4923</v>
      </c>
      <c r="U3" s="24"/>
    </row>
    <row r="4" hidden="1">
      <c r="A4" s="30">
        <v>7.290000135045E12</v>
      </c>
      <c r="B4" s="20" t="s">
        <v>4936</v>
      </c>
      <c r="C4" s="21">
        <v>0.053</v>
      </c>
      <c r="D4" s="21">
        <v>0.134</v>
      </c>
      <c r="E4" s="21">
        <v>0.053</v>
      </c>
      <c r="F4" s="22">
        <v>6.0</v>
      </c>
      <c r="G4" s="23"/>
      <c r="H4" s="20" t="s">
        <v>4930</v>
      </c>
      <c r="I4" s="21" t="s">
        <v>4930</v>
      </c>
      <c r="J4" s="24" t="s">
        <v>4937</v>
      </c>
      <c r="K4" s="21" t="s">
        <v>4938</v>
      </c>
      <c r="L4" s="25" t="s">
        <v>4939</v>
      </c>
      <c r="M4" s="26" t="s">
        <v>37</v>
      </c>
      <c r="N4" s="24" t="s">
        <v>340</v>
      </c>
      <c r="O4" s="24" t="s">
        <v>449</v>
      </c>
      <c r="P4" s="27"/>
      <c r="Q4" s="27"/>
      <c r="R4" s="31" t="s">
        <v>4940</v>
      </c>
      <c r="S4" s="33" t="s">
        <v>4941</v>
      </c>
      <c r="T4" s="29" t="e">
        <v>#N/A</v>
      </c>
      <c r="U4" s="24"/>
    </row>
    <row r="5" hidden="1">
      <c r="A5" s="30">
        <v>7.290000135052E12</v>
      </c>
      <c r="B5" s="20" t="s">
        <v>4942</v>
      </c>
      <c r="C5" s="21">
        <v>0.053</v>
      </c>
      <c r="D5" s="21">
        <v>0.134</v>
      </c>
      <c r="E5" s="21">
        <v>0.053</v>
      </c>
      <c r="F5" s="22">
        <v>6.0</v>
      </c>
      <c r="G5" s="23"/>
      <c r="H5" s="20" t="s">
        <v>4930</v>
      </c>
      <c r="I5" s="21" t="s">
        <v>4930</v>
      </c>
      <c r="J5" s="24" t="s">
        <v>4943</v>
      </c>
      <c r="K5" s="21" t="s">
        <v>4944</v>
      </c>
      <c r="L5" s="25" t="s">
        <v>4945</v>
      </c>
      <c r="M5" s="26" t="s">
        <v>37</v>
      </c>
      <c r="N5" s="24" t="s">
        <v>340</v>
      </c>
      <c r="O5" s="24" t="s">
        <v>449</v>
      </c>
      <c r="P5" s="27"/>
      <c r="Q5" s="27"/>
      <c r="R5" s="31" t="s">
        <v>4946</v>
      </c>
      <c r="S5" s="33" t="s">
        <v>4947</v>
      </c>
      <c r="T5" s="29" t="e">
        <v>#N/A</v>
      </c>
      <c r="U5" s="24"/>
    </row>
    <row r="6" hidden="1">
      <c r="A6" s="30">
        <v>7.290000135113E12</v>
      </c>
      <c r="B6" s="20" t="s">
        <v>4929</v>
      </c>
      <c r="C6" s="21">
        <v>0.053</v>
      </c>
      <c r="D6" s="21">
        <v>0.134</v>
      </c>
      <c r="E6" s="21">
        <v>0.053</v>
      </c>
      <c r="F6" s="22">
        <v>6.0</v>
      </c>
      <c r="G6" s="23"/>
      <c r="H6" s="20" t="s">
        <v>4930</v>
      </c>
      <c r="I6" s="21" t="s">
        <v>4930</v>
      </c>
      <c r="J6" s="24" t="s">
        <v>4931</v>
      </c>
      <c r="K6" s="21" t="s">
        <v>4932</v>
      </c>
      <c r="L6" s="25" t="s">
        <v>4933</v>
      </c>
      <c r="M6" s="26" t="s">
        <v>28</v>
      </c>
      <c r="N6" s="24" t="s">
        <v>340</v>
      </c>
      <c r="O6" s="24" t="s">
        <v>449</v>
      </c>
      <c r="P6" s="27"/>
      <c r="Q6" s="27"/>
      <c r="R6" s="31" t="s">
        <v>4934</v>
      </c>
      <c r="S6" s="33" t="s">
        <v>4935</v>
      </c>
      <c r="T6" s="29" t="s">
        <v>4923</v>
      </c>
      <c r="U6" s="24"/>
    </row>
    <row r="7" hidden="1">
      <c r="A7" s="30">
        <v>7.2917329E7</v>
      </c>
      <c r="B7" s="20" t="s">
        <v>1155</v>
      </c>
      <c r="C7" s="21">
        <v>0.13</v>
      </c>
      <c r="D7" s="21">
        <v>0.035</v>
      </c>
      <c r="E7" s="21">
        <v>0.02</v>
      </c>
      <c r="F7" s="22">
        <v>15.0</v>
      </c>
      <c r="G7" s="23"/>
      <c r="H7" s="24" t="s">
        <v>1156</v>
      </c>
      <c r="I7" s="21" t="s">
        <v>1157</v>
      </c>
      <c r="J7" s="24" t="s">
        <v>1158</v>
      </c>
      <c r="K7" s="21" t="s">
        <v>1159</v>
      </c>
      <c r="L7" s="25" t="s">
        <v>1160</v>
      </c>
      <c r="M7" s="26" t="s">
        <v>28</v>
      </c>
      <c r="N7" s="24" t="s">
        <v>501</v>
      </c>
      <c r="O7" s="24" t="s">
        <v>502</v>
      </c>
      <c r="P7" s="27"/>
      <c r="Q7" s="27"/>
      <c r="R7" s="31" t="s">
        <v>1161</v>
      </c>
      <c r="S7" s="8" t="s">
        <v>1162</v>
      </c>
      <c r="T7" s="29" t="s">
        <v>1157</v>
      </c>
      <c r="U7" s="24"/>
    </row>
    <row r="8" hidden="1">
      <c r="A8" s="30">
        <v>7.622210835338E12</v>
      </c>
      <c r="B8" s="20" t="s">
        <v>3201</v>
      </c>
      <c r="C8" s="21">
        <v>0.192</v>
      </c>
      <c r="D8" s="21">
        <v>0.11</v>
      </c>
      <c r="E8" s="21">
        <v>0.032</v>
      </c>
      <c r="F8" s="22">
        <v>9.0</v>
      </c>
      <c r="G8" s="23"/>
      <c r="H8" s="24" t="s">
        <v>3169</v>
      </c>
      <c r="I8" s="21" t="s">
        <v>3170</v>
      </c>
      <c r="J8" s="24" t="s">
        <v>3202</v>
      </c>
      <c r="K8" s="21" t="s">
        <v>3203</v>
      </c>
      <c r="L8" s="25" t="s">
        <v>3204</v>
      </c>
      <c r="M8" s="26" t="s">
        <v>28</v>
      </c>
      <c r="N8" s="24" t="s">
        <v>2364</v>
      </c>
      <c r="O8" s="24" t="s">
        <v>2739</v>
      </c>
      <c r="P8" s="27"/>
      <c r="Q8" s="27"/>
      <c r="R8" s="28" t="s">
        <v>3205</v>
      </c>
      <c r="S8" s="33" t="s">
        <v>3206</v>
      </c>
      <c r="T8" s="29" t="s">
        <v>3170</v>
      </c>
      <c r="U8" s="24"/>
    </row>
    <row r="9" hidden="1">
      <c r="A9" s="30">
        <v>7.622210829085E12</v>
      </c>
      <c r="B9" s="20" t="s">
        <v>3225</v>
      </c>
      <c r="C9" s="21">
        <v>0.045</v>
      </c>
      <c r="D9" s="21">
        <v>0.195</v>
      </c>
      <c r="E9" s="21">
        <v>0.055</v>
      </c>
      <c r="F9" s="22">
        <v>5.0</v>
      </c>
      <c r="G9" s="23"/>
      <c r="H9" s="24" t="s">
        <v>3169</v>
      </c>
      <c r="I9" s="21" t="s">
        <v>3170</v>
      </c>
      <c r="J9" s="24" t="s">
        <v>3226</v>
      </c>
      <c r="K9" s="21" t="s">
        <v>3227</v>
      </c>
      <c r="L9" s="25" t="s">
        <v>3228</v>
      </c>
      <c r="M9" s="26" t="s">
        <v>28</v>
      </c>
      <c r="N9" s="24" t="s">
        <v>2364</v>
      </c>
      <c r="O9" s="24" t="s">
        <v>2739</v>
      </c>
      <c r="P9" s="27"/>
      <c r="Q9" s="27"/>
      <c r="R9" s="31" t="s">
        <v>3229</v>
      </c>
      <c r="S9" s="33" t="s">
        <v>3230</v>
      </c>
      <c r="T9" s="29" t="s">
        <v>3170</v>
      </c>
      <c r="U9" s="24"/>
    </row>
    <row r="10" hidden="1">
      <c r="A10" s="30">
        <v>7.622210874351E12</v>
      </c>
      <c r="B10" s="20" t="s">
        <v>3207</v>
      </c>
      <c r="C10" s="21">
        <v>0.09</v>
      </c>
      <c r="D10" s="21">
        <v>0.11</v>
      </c>
      <c r="E10" s="21">
        <v>0.09</v>
      </c>
      <c r="F10" s="22">
        <v>3.0</v>
      </c>
      <c r="G10" s="23"/>
      <c r="H10" s="24" t="s">
        <v>3169</v>
      </c>
      <c r="I10" s="21" t="s">
        <v>3170</v>
      </c>
      <c r="J10" s="24" t="s">
        <v>3208</v>
      </c>
      <c r="K10" s="21" t="s">
        <v>3209</v>
      </c>
      <c r="L10" s="25" t="s">
        <v>3210</v>
      </c>
      <c r="M10" s="26" t="s">
        <v>28</v>
      </c>
      <c r="N10" s="24" t="s">
        <v>2364</v>
      </c>
      <c r="O10" s="24" t="s">
        <v>2739</v>
      </c>
      <c r="P10" s="27"/>
      <c r="Q10" s="27"/>
      <c r="R10" s="31" t="s">
        <v>3211</v>
      </c>
      <c r="S10" s="33" t="s">
        <v>3212</v>
      </c>
      <c r="T10" s="29" t="s">
        <v>3170</v>
      </c>
      <c r="U10" s="24"/>
    </row>
    <row r="11" hidden="1">
      <c r="A11" s="30">
        <v>7.622210637994E12</v>
      </c>
      <c r="B11" s="20" t="s">
        <v>3177</v>
      </c>
      <c r="C11" s="21">
        <v>0.14</v>
      </c>
      <c r="D11" s="21">
        <v>0.17</v>
      </c>
      <c r="E11" s="21">
        <v>0.035</v>
      </c>
      <c r="F11" s="22">
        <v>9.0</v>
      </c>
      <c r="G11" s="23"/>
      <c r="H11" s="24" t="s">
        <v>3169</v>
      </c>
      <c r="I11" s="21" t="s">
        <v>3170</v>
      </c>
      <c r="J11" s="24" t="s">
        <v>3178</v>
      </c>
      <c r="K11" s="21" t="s">
        <v>3179</v>
      </c>
      <c r="L11" s="25" t="s">
        <v>3180</v>
      </c>
      <c r="M11" s="26" t="s">
        <v>28</v>
      </c>
      <c r="N11" s="24" t="s">
        <v>2364</v>
      </c>
      <c r="O11" s="24" t="s">
        <v>2739</v>
      </c>
      <c r="P11" s="27"/>
      <c r="Q11" s="27"/>
      <c r="R11" s="31" t="s">
        <v>3181</v>
      </c>
      <c r="S11" s="33" t="s">
        <v>3182</v>
      </c>
      <c r="T11" s="29" t="s">
        <v>3170</v>
      </c>
      <c r="U11" s="24"/>
    </row>
    <row r="12" hidden="1">
      <c r="A12" s="30">
        <v>7.622210638021E12</v>
      </c>
      <c r="B12" s="20" t="s">
        <v>3168</v>
      </c>
      <c r="C12" s="21">
        <v>0.14</v>
      </c>
      <c r="D12" s="21">
        <v>0.17</v>
      </c>
      <c r="E12" s="21">
        <v>0.035</v>
      </c>
      <c r="F12" s="22">
        <v>9.0</v>
      </c>
      <c r="G12" s="23"/>
      <c r="H12" s="24" t="s">
        <v>3169</v>
      </c>
      <c r="I12" s="21" t="s">
        <v>3170</v>
      </c>
      <c r="J12" s="24" t="s">
        <v>3172</v>
      </c>
      <c r="K12" s="21" t="s">
        <v>3173</v>
      </c>
      <c r="L12" s="25" t="s">
        <v>3174</v>
      </c>
      <c r="M12" s="26" t="s">
        <v>28</v>
      </c>
      <c r="N12" s="24" t="s">
        <v>2364</v>
      </c>
      <c r="O12" s="24" t="s">
        <v>2739</v>
      </c>
      <c r="P12" s="27"/>
      <c r="Q12" s="27"/>
      <c r="R12" s="28" t="s">
        <v>3175</v>
      </c>
      <c r="S12" s="8" t="s">
        <v>3176</v>
      </c>
      <c r="T12" s="29" t="s">
        <v>3170</v>
      </c>
      <c r="U12" s="24"/>
    </row>
    <row r="13" hidden="1">
      <c r="A13" s="30">
        <v>7.622300761363E12</v>
      </c>
      <c r="B13" s="20" t="s">
        <v>3183</v>
      </c>
      <c r="C13" s="21">
        <v>0.09</v>
      </c>
      <c r="D13" s="21">
        <v>0.11</v>
      </c>
      <c r="E13" s="21">
        <v>0.09</v>
      </c>
      <c r="F13" s="22">
        <v>3.0</v>
      </c>
      <c r="G13" s="23"/>
      <c r="H13" s="24" t="s">
        <v>3169</v>
      </c>
      <c r="I13" s="21" t="s">
        <v>3170</v>
      </c>
      <c r="J13" s="24" t="s">
        <v>3184</v>
      </c>
      <c r="K13" s="21" t="s">
        <v>3185</v>
      </c>
      <c r="L13" s="25" t="s">
        <v>3186</v>
      </c>
      <c r="M13" s="26" t="s">
        <v>28</v>
      </c>
      <c r="N13" s="24" t="s">
        <v>2364</v>
      </c>
      <c r="O13" s="24" t="s">
        <v>2739</v>
      </c>
      <c r="P13" s="27"/>
      <c r="Q13" s="27"/>
      <c r="R13" s="31" t="s">
        <v>3187</v>
      </c>
      <c r="S13" s="33" t="s">
        <v>3188</v>
      </c>
      <c r="T13" s="29" t="s">
        <v>3170</v>
      </c>
      <c r="U13" s="24"/>
    </row>
    <row r="14" hidden="1">
      <c r="A14" s="30">
        <v>7.622210829108E12</v>
      </c>
      <c r="B14" s="20" t="s">
        <v>3213</v>
      </c>
      <c r="C14" s="21">
        <v>0.045</v>
      </c>
      <c r="D14" s="21">
        <v>0.195</v>
      </c>
      <c r="E14" s="21">
        <v>0.055</v>
      </c>
      <c r="F14" s="22">
        <v>5.0</v>
      </c>
      <c r="G14" s="23"/>
      <c r="H14" s="24" t="s">
        <v>3169</v>
      </c>
      <c r="I14" s="21" t="s">
        <v>3170</v>
      </c>
      <c r="J14" s="24" t="s">
        <v>3214</v>
      </c>
      <c r="K14" s="21" t="s">
        <v>3215</v>
      </c>
      <c r="L14" s="25" t="s">
        <v>3216</v>
      </c>
      <c r="M14" s="26" t="s">
        <v>28</v>
      </c>
      <c r="N14" s="24" t="s">
        <v>2364</v>
      </c>
      <c r="O14" s="24" t="s">
        <v>2739</v>
      </c>
      <c r="P14" s="27"/>
      <c r="Q14" s="27"/>
      <c r="R14" s="28" t="s">
        <v>3217</v>
      </c>
      <c r="S14" s="8" t="s">
        <v>3218</v>
      </c>
      <c r="T14" s="29" t="s">
        <v>3170</v>
      </c>
      <c r="U14" s="24"/>
    </row>
    <row r="15" hidden="1">
      <c r="A15" s="30">
        <v>7.622010001858E12</v>
      </c>
      <c r="B15" s="20" t="s">
        <v>3219</v>
      </c>
      <c r="C15" s="21">
        <v>0.192</v>
      </c>
      <c r="D15" s="21">
        <v>0.11</v>
      </c>
      <c r="E15" s="21">
        <v>0.032</v>
      </c>
      <c r="F15" s="22">
        <v>9.0</v>
      </c>
      <c r="G15" s="23"/>
      <c r="H15" s="24" t="s">
        <v>3169</v>
      </c>
      <c r="I15" s="21" t="s">
        <v>3170</v>
      </c>
      <c r="J15" s="24" t="s">
        <v>3220</v>
      </c>
      <c r="K15" s="21" t="s">
        <v>3221</v>
      </c>
      <c r="L15" s="25" t="s">
        <v>3222</v>
      </c>
      <c r="M15" s="26" t="s">
        <v>28</v>
      </c>
      <c r="N15" s="24" t="s">
        <v>2364</v>
      </c>
      <c r="O15" s="24" t="s">
        <v>2739</v>
      </c>
      <c r="P15" s="27"/>
      <c r="Q15" s="27"/>
      <c r="R15" s="28" t="s">
        <v>3223</v>
      </c>
      <c r="S15" s="8" t="s">
        <v>3224</v>
      </c>
      <c r="T15" s="29" t="s">
        <v>3170</v>
      </c>
      <c r="U15" s="24"/>
    </row>
    <row r="16" hidden="1">
      <c r="A16" s="30">
        <v>7.6222014019E12</v>
      </c>
      <c r="B16" s="20" t="s">
        <v>5158</v>
      </c>
      <c r="C16" s="21">
        <v>0.18</v>
      </c>
      <c r="D16" s="21">
        <v>0.09999999</v>
      </c>
      <c r="E16" s="21">
        <v>0.04</v>
      </c>
      <c r="F16" s="22">
        <v>8.0</v>
      </c>
      <c r="G16" s="23"/>
      <c r="H16" s="24" t="s">
        <v>3169</v>
      </c>
      <c r="I16" s="21" t="s">
        <v>3170</v>
      </c>
      <c r="J16" s="24" t="s">
        <v>2736</v>
      </c>
      <c r="K16" s="21" t="s">
        <v>2737</v>
      </c>
      <c r="L16" s="25" t="s">
        <v>2738</v>
      </c>
      <c r="M16" s="26" t="s">
        <v>28</v>
      </c>
      <c r="N16" s="24" t="s">
        <v>2364</v>
      </c>
      <c r="O16" s="24" t="s">
        <v>2739</v>
      </c>
      <c r="P16" s="27"/>
      <c r="Q16" s="27"/>
      <c r="R16" s="28" t="s">
        <v>2740</v>
      </c>
      <c r="S16" s="8" t="s">
        <v>2741</v>
      </c>
      <c r="T16" s="29" t="s">
        <v>2698</v>
      </c>
      <c r="U16" s="24"/>
    </row>
    <row r="17" hidden="1">
      <c r="A17" s="30">
        <v>7.622201127398E12</v>
      </c>
      <c r="B17" s="20" t="s">
        <v>3189</v>
      </c>
      <c r="C17" s="21">
        <v>0.17</v>
      </c>
      <c r="D17" s="21">
        <v>0.2</v>
      </c>
      <c r="E17" s="21">
        <v>0.037</v>
      </c>
      <c r="F17" s="22">
        <v>8.0</v>
      </c>
      <c r="G17" s="23"/>
      <c r="H17" s="24" t="s">
        <v>3169</v>
      </c>
      <c r="I17" s="21" t="s">
        <v>3170</v>
      </c>
      <c r="J17" s="24" t="s">
        <v>3190</v>
      </c>
      <c r="K17" s="21" t="s">
        <v>3191</v>
      </c>
      <c r="L17" s="25" t="s">
        <v>3192</v>
      </c>
      <c r="M17" s="26" t="s">
        <v>37</v>
      </c>
      <c r="N17" s="24" t="s">
        <v>2364</v>
      </c>
      <c r="O17" s="24" t="s">
        <v>2647</v>
      </c>
      <c r="P17" s="27"/>
      <c r="Q17" s="27"/>
      <c r="R17" s="28" t="s">
        <v>3193</v>
      </c>
      <c r="S17" s="8" t="s">
        <v>3194</v>
      </c>
      <c r="T17" s="29" t="e">
        <v>#N/A</v>
      </c>
      <c r="U17" s="24"/>
    </row>
    <row r="18" hidden="1">
      <c r="A18" s="30">
        <v>7.622201127367E12</v>
      </c>
      <c r="B18" s="20" t="s">
        <v>3195</v>
      </c>
      <c r="C18" s="21">
        <v>0.17</v>
      </c>
      <c r="D18" s="21">
        <v>0.2</v>
      </c>
      <c r="E18" s="21">
        <v>0.037</v>
      </c>
      <c r="F18" s="22">
        <v>8.0</v>
      </c>
      <c r="G18" s="23"/>
      <c r="H18" s="24" t="s">
        <v>3169</v>
      </c>
      <c r="I18" s="21" t="s">
        <v>3170</v>
      </c>
      <c r="J18" s="24" t="s">
        <v>3196</v>
      </c>
      <c r="K18" s="21" t="s">
        <v>3197</v>
      </c>
      <c r="L18" s="25" t="s">
        <v>3198</v>
      </c>
      <c r="M18" s="26" t="s">
        <v>37</v>
      </c>
      <c r="N18" s="24" t="s">
        <v>2364</v>
      </c>
      <c r="O18" s="24" t="s">
        <v>2647</v>
      </c>
      <c r="P18" s="27"/>
      <c r="Q18" s="27"/>
      <c r="R18" s="28" t="s">
        <v>3199</v>
      </c>
      <c r="S18" s="8" t="s">
        <v>3200</v>
      </c>
      <c r="T18" s="29" t="e">
        <v>#N/A</v>
      </c>
      <c r="U18" s="24"/>
    </row>
    <row r="19" hidden="1">
      <c r="A19" s="30">
        <v>7.622210826053E12</v>
      </c>
      <c r="B19" s="20" t="s">
        <v>5159</v>
      </c>
      <c r="C19" s="21">
        <v>0.157</v>
      </c>
      <c r="D19" s="21">
        <v>0.077</v>
      </c>
      <c r="E19" s="21">
        <v>0.014</v>
      </c>
      <c r="F19" s="22">
        <v>21.0</v>
      </c>
      <c r="G19" s="23"/>
      <c r="H19" s="24" t="s">
        <v>3169</v>
      </c>
      <c r="I19" s="21" t="s">
        <v>3170</v>
      </c>
      <c r="J19" s="24" t="s">
        <v>2723</v>
      </c>
      <c r="K19" s="21" t="s">
        <v>2724</v>
      </c>
      <c r="L19" s="25" t="s">
        <v>2725</v>
      </c>
      <c r="M19" s="26" t="s">
        <v>28</v>
      </c>
      <c r="N19" s="24" t="s">
        <v>626</v>
      </c>
      <c r="O19" s="24" t="s">
        <v>2726</v>
      </c>
      <c r="P19" s="27"/>
      <c r="Q19" s="27"/>
      <c r="R19" s="28" t="s">
        <v>2727</v>
      </c>
      <c r="S19" s="8" t="s">
        <v>2728</v>
      </c>
      <c r="T19" s="29" t="s">
        <v>2698</v>
      </c>
      <c r="U19" s="24"/>
    </row>
    <row r="20" hidden="1">
      <c r="A20" s="30">
        <v>7.62230061782E12</v>
      </c>
      <c r="B20" s="20" t="s">
        <v>5160</v>
      </c>
      <c r="C20" s="21">
        <v>0.15</v>
      </c>
      <c r="D20" s="21">
        <v>0.079</v>
      </c>
      <c r="E20" s="21">
        <v>0.02</v>
      </c>
      <c r="F20" s="22">
        <v>15.0</v>
      </c>
      <c r="G20" s="23"/>
      <c r="H20" s="24" t="s">
        <v>3169</v>
      </c>
      <c r="I20" s="21" t="s">
        <v>3170</v>
      </c>
      <c r="J20" s="24" t="s">
        <v>2730</v>
      </c>
      <c r="K20" s="21" t="s">
        <v>2731</v>
      </c>
      <c r="L20" s="25" t="s">
        <v>2732</v>
      </c>
      <c r="M20" s="26" t="s">
        <v>28</v>
      </c>
      <c r="N20" s="24" t="s">
        <v>626</v>
      </c>
      <c r="O20" s="24" t="s">
        <v>649</v>
      </c>
      <c r="P20" s="27"/>
      <c r="Q20" s="27"/>
      <c r="R20" s="28" t="s">
        <v>2733</v>
      </c>
      <c r="S20" s="8" t="s">
        <v>2734</v>
      </c>
      <c r="T20" s="29" t="s">
        <v>2698</v>
      </c>
      <c r="U20" s="24"/>
    </row>
    <row r="21" hidden="1">
      <c r="A21" s="30">
        <v>8.39762002386E11</v>
      </c>
      <c r="B21" s="20" t="s">
        <v>1921</v>
      </c>
      <c r="C21" s="21">
        <v>0.06</v>
      </c>
      <c r="D21" s="21">
        <v>0.195</v>
      </c>
      <c r="E21" s="21">
        <v>0.06</v>
      </c>
      <c r="F21" s="22">
        <v>5.0</v>
      </c>
      <c r="G21" s="23"/>
      <c r="H21" s="24" t="s">
        <v>1913</v>
      </c>
      <c r="I21" s="21" t="s">
        <v>1914</v>
      </c>
      <c r="J21" s="24" t="s">
        <v>1922</v>
      </c>
      <c r="K21" s="21" t="s">
        <v>1923</v>
      </c>
      <c r="L21" s="25" t="s">
        <v>1924</v>
      </c>
      <c r="M21" s="26" t="s">
        <v>28</v>
      </c>
      <c r="N21" s="24" t="s">
        <v>1555</v>
      </c>
      <c r="O21" s="24" t="s">
        <v>1556</v>
      </c>
      <c r="P21" s="27"/>
      <c r="Q21" s="27"/>
      <c r="R21" s="28" t="s">
        <v>1925</v>
      </c>
      <c r="S21" s="8" t="s">
        <v>1926</v>
      </c>
      <c r="T21" s="29" t="s">
        <v>1914</v>
      </c>
      <c r="U21" s="24"/>
    </row>
    <row r="22" hidden="1">
      <c r="A22" s="30">
        <v>8.39762002379E11</v>
      </c>
      <c r="B22" s="20" t="s">
        <v>1933</v>
      </c>
      <c r="C22" s="21">
        <v>0.06</v>
      </c>
      <c r="D22" s="21">
        <v>0.195</v>
      </c>
      <c r="E22" s="21">
        <v>0.06</v>
      </c>
      <c r="F22" s="22">
        <v>5.0</v>
      </c>
      <c r="G22" s="23"/>
      <c r="H22" s="24" t="s">
        <v>1913</v>
      </c>
      <c r="I22" s="21" t="s">
        <v>1914</v>
      </c>
      <c r="J22" s="24" t="s">
        <v>1934</v>
      </c>
      <c r="K22" s="21" t="s">
        <v>1935</v>
      </c>
      <c r="L22" s="25" t="s">
        <v>1936</v>
      </c>
      <c r="M22" s="26" t="s">
        <v>28</v>
      </c>
      <c r="N22" s="24" t="s">
        <v>1555</v>
      </c>
      <c r="O22" s="24" t="s">
        <v>1556</v>
      </c>
      <c r="P22" s="27"/>
      <c r="Q22" s="27"/>
      <c r="R22" s="31" t="s">
        <v>1937</v>
      </c>
      <c r="S22" s="8" t="s">
        <v>1938</v>
      </c>
      <c r="T22" s="29" t="s">
        <v>1914</v>
      </c>
      <c r="U22" s="24"/>
    </row>
    <row r="23" hidden="1">
      <c r="A23" s="30">
        <v>8.39762000658E11</v>
      </c>
      <c r="B23" s="20" t="s">
        <v>1912</v>
      </c>
      <c r="C23" s="21">
        <v>0.08</v>
      </c>
      <c r="D23" s="21">
        <v>0.26</v>
      </c>
      <c r="E23" s="21">
        <v>0.08</v>
      </c>
      <c r="F23" s="22">
        <v>4.0</v>
      </c>
      <c r="G23" s="23"/>
      <c r="H23" s="24" t="s">
        <v>1913</v>
      </c>
      <c r="I23" s="21" t="s">
        <v>1914</v>
      </c>
      <c r="J23" s="24" t="s">
        <v>1915</v>
      </c>
      <c r="K23" s="21" t="s">
        <v>1916</v>
      </c>
      <c r="L23" s="25" t="s">
        <v>1917</v>
      </c>
      <c r="M23" s="26" t="s">
        <v>28</v>
      </c>
      <c r="N23" s="24" t="s">
        <v>1555</v>
      </c>
      <c r="O23" s="24" t="s">
        <v>1918</v>
      </c>
      <c r="P23" s="27"/>
      <c r="Q23" s="27"/>
      <c r="R23" s="28" t="s">
        <v>1919</v>
      </c>
      <c r="S23" s="8" t="s">
        <v>1920</v>
      </c>
      <c r="T23" s="29" t="s">
        <v>1914</v>
      </c>
      <c r="U23" s="24"/>
    </row>
    <row r="24" hidden="1">
      <c r="A24" s="30">
        <v>8.39762000641E11</v>
      </c>
      <c r="B24" s="20" t="s">
        <v>1927</v>
      </c>
      <c r="C24" s="21">
        <v>0.08</v>
      </c>
      <c r="D24" s="21">
        <v>0.26</v>
      </c>
      <c r="E24" s="21">
        <v>0.08</v>
      </c>
      <c r="F24" s="22">
        <v>4.0</v>
      </c>
      <c r="G24" s="23"/>
      <c r="H24" s="24" t="s">
        <v>1913</v>
      </c>
      <c r="I24" s="21" t="s">
        <v>1914</v>
      </c>
      <c r="J24" s="24" t="s">
        <v>1928</v>
      </c>
      <c r="K24" s="21" t="s">
        <v>1929</v>
      </c>
      <c r="L24" s="25" t="s">
        <v>1930</v>
      </c>
      <c r="M24" s="26" t="s">
        <v>28</v>
      </c>
      <c r="N24" s="24" t="s">
        <v>1555</v>
      </c>
      <c r="O24" s="24" t="s">
        <v>1918</v>
      </c>
      <c r="P24" s="27"/>
      <c r="Q24" s="27"/>
      <c r="R24" s="28" t="s">
        <v>1931</v>
      </c>
      <c r="S24" s="8" t="s">
        <v>1932</v>
      </c>
      <c r="T24" s="29" t="s">
        <v>1914</v>
      </c>
      <c r="U24" s="24"/>
    </row>
    <row r="25" hidden="1">
      <c r="A25" s="30">
        <v>8.003753158587E12</v>
      </c>
      <c r="B25" s="20" t="s">
        <v>5161</v>
      </c>
      <c r="C25" s="21">
        <v>0.09</v>
      </c>
      <c r="D25" s="21">
        <v>0.195</v>
      </c>
      <c r="E25" s="21">
        <v>0.13</v>
      </c>
      <c r="F25" s="22">
        <v>2.0</v>
      </c>
      <c r="G25" s="23"/>
      <c r="H25" s="24" t="s">
        <v>1905</v>
      </c>
      <c r="I25" s="21" t="s">
        <v>5162</v>
      </c>
      <c r="J25" s="24" t="s">
        <v>1907</v>
      </c>
      <c r="K25" s="21" t="s">
        <v>5163</v>
      </c>
      <c r="L25" s="25" t="s">
        <v>1909</v>
      </c>
      <c r="M25" s="26" t="s">
        <v>28</v>
      </c>
      <c r="N25" s="24" t="s">
        <v>1222</v>
      </c>
      <c r="O25" s="24" t="s">
        <v>1223</v>
      </c>
      <c r="P25" s="27"/>
      <c r="Q25" s="27"/>
      <c r="R25" s="31" t="s">
        <v>1910</v>
      </c>
      <c r="S25" s="33" t="s">
        <v>1911</v>
      </c>
      <c r="T25" s="29" t="s">
        <v>1256</v>
      </c>
      <c r="U25" s="24"/>
    </row>
    <row r="26" hidden="1">
      <c r="A26" s="30">
        <v>7.290002771111E12</v>
      </c>
      <c r="B26" s="20" t="s">
        <v>5164</v>
      </c>
      <c r="C26" s="21">
        <v>0.11</v>
      </c>
      <c r="D26" s="21">
        <v>0.15</v>
      </c>
      <c r="E26" s="21">
        <v>0.057</v>
      </c>
      <c r="F26" s="22">
        <v>5.0</v>
      </c>
      <c r="G26" s="23"/>
      <c r="H26" s="24" t="s">
        <v>5165</v>
      </c>
      <c r="I26" s="21" t="s">
        <v>5166</v>
      </c>
      <c r="J26" s="24" t="s">
        <v>48</v>
      </c>
      <c r="K26" s="21" t="s">
        <v>49</v>
      </c>
      <c r="L26" s="25" t="s">
        <v>50</v>
      </c>
      <c r="M26" s="26" t="s">
        <v>37</v>
      </c>
      <c r="N26" s="24" t="s">
        <v>51</v>
      </c>
      <c r="O26" s="24" t="s">
        <v>52</v>
      </c>
      <c r="P26" s="27"/>
      <c r="Q26" s="27"/>
      <c r="R26" s="31" t="s">
        <v>53</v>
      </c>
      <c r="S26" s="8" t="s">
        <v>54</v>
      </c>
      <c r="T26" s="29" t="e">
        <v>#N/A</v>
      </c>
      <c r="U26" s="24"/>
    </row>
    <row r="27" hidden="1">
      <c r="A27" s="30">
        <v>7.290107947497E12</v>
      </c>
      <c r="B27" s="20" t="s">
        <v>1307</v>
      </c>
      <c r="C27" s="21">
        <v>0.135</v>
      </c>
      <c r="D27" s="21">
        <v>0.035</v>
      </c>
      <c r="E27" s="21">
        <v>0.02</v>
      </c>
      <c r="F27" s="22">
        <v>15.0</v>
      </c>
      <c r="G27" s="23"/>
      <c r="H27" s="24" t="s">
        <v>1308</v>
      </c>
      <c r="I27" s="21" t="s">
        <v>1309</v>
      </c>
      <c r="J27" s="24" t="s">
        <v>1310</v>
      </c>
      <c r="K27" s="21" t="s">
        <v>1311</v>
      </c>
      <c r="L27" s="25" t="s">
        <v>1312</v>
      </c>
      <c r="M27" s="26" t="s">
        <v>28</v>
      </c>
      <c r="N27" s="24" t="s">
        <v>320</v>
      </c>
      <c r="O27" s="24" t="s">
        <v>321</v>
      </c>
      <c r="P27" s="27"/>
      <c r="Q27" s="27"/>
      <c r="R27" s="31" t="s">
        <v>1313</v>
      </c>
      <c r="S27" s="33" t="s">
        <v>1314</v>
      </c>
      <c r="T27" s="29" t="s">
        <v>1309</v>
      </c>
      <c r="U27" s="24"/>
    </row>
    <row r="28" hidden="1">
      <c r="A28" s="30">
        <v>7.290106527386E12</v>
      </c>
      <c r="B28" s="20" t="s">
        <v>1296</v>
      </c>
      <c r="C28" s="21">
        <v>0.13</v>
      </c>
      <c r="D28" s="21">
        <v>0.18</v>
      </c>
      <c r="E28" s="21">
        <v>0.03</v>
      </c>
      <c r="F28" s="22">
        <v>10.0</v>
      </c>
      <c r="G28" s="23"/>
      <c r="H28" s="24" t="s">
        <v>1308</v>
      </c>
      <c r="I28" s="21" t="s">
        <v>1309</v>
      </c>
      <c r="J28" s="24" t="s">
        <v>1300</v>
      </c>
      <c r="K28" s="21" t="s">
        <v>1301</v>
      </c>
      <c r="L28" s="25" t="s">
        <v>1302</v>
      </c>
      <c r="M28" s="26" t="s">
        <v>28</v>
      </c>
      <c r="N28" s="24" t="s">
        <v>954</v>
      </c>
      <c r="O28" s="24" t="s">
        <v>1303</v>
      </c>
      <c r="P28" s="27"/>
      <c r="Q28" s="27"/>
      <c r="R28" s="28" t="s">
        <v>1304</v>
      </c>
      <c r="S28" s="8" t="s">
        <v>1305</v>
      </c>
      <c r="T28" s="29" t="s">
        <v>1306</v>
      </c>
      <c r="U28" s="24"/>
    </row>
    <row r="29" hidden="1">
      <c r="A29" s="30">
        <v>7.290107947503E12</v>
      </c>
      <c r="B29" s="20" t="s">
        <v>1315</v>
      </c>
      <c r="C29" s="21">
        <v>0.135</v>
      </c>
      <c r="D29" s="21">
        <v>0.035</v>
      </c>
      <c r="E29" s="21">
        <v>0.02</v>
      </c>
      <c r="F29" s="22">
        <v>15.0</v>
      </c>
      <c r="G29" s="23"/>
      <c r="H29" s="24" t="s">
        <v>1316</v>
      </c>
      <c r="I29" s="21" t="s">
        <v>1309</v>
      </c>
      <c r="J29" s="24" t="s">
        <v>1317</v>
      </c>
      <c r="K29" s="21" t="s">
        <v>1318</v>
      </c>
      <c r="L29" s="25" t="s">
        <v>1319</v>
      </c>
      <c r="M29" s="26" t="s">
        <v>28</v>
      </c>
      <c r="N29" s="24" t="s">
        <v>320</v>
      </c>
      <c r="O29" s="24" t="s">
        <v>321</v>
      </c>
      <c r="P29" s="27"/>
      <c r="Q29" s="27"/>
      <c r="R29" s="31" t="s">
        <v>1320</v>
      </c>
      <c r="S29" s="33" t="s">
        <v>1321</v>
      </c>
      <c r="T29" s="29" t="s">
        <v>1309</v>
      </c>
      <c r="U29" s="24"/>
    </row>
    <row r="30" hidden="1">
      <c r="A30" s="30">
        <v>7.29011056593E12</v>
      </c>
      <c r="B30" s="20" t="s">
        <v>1322</v>
      </c>
      <c r="C30" s="21">
        <v>0.135</v>
      </c>
      <c r="D30" s="21">
        <v>0.035</v>
      </c>
      <c r="E30" s="21">
        <v>0.02</v>
      </c>
      <c r="F30" s="22">
        <v>15.0</v>
      </c>
      <c r="G30" s="23"/>
      <c r="H30" s="24" t="s">
        <v>1316</v>
      </c>
      <c r="I30" s="21" t="s">
        <v>1309</v>
      </c>
      <c r="J30" s="24" t="s">
        <v>1323</v>
      </c>
      <c r="K30" s="21" t="s">
        <v>1324</v>
      </c>
      <c r="L30" s="25" t="s">
        <v>1325</v>
      </c>
      <c r="M30" s="26" t="s">
        <v>28</v>
      </c>
      <c r="N30" s="24" t="s">
        <v>320</v>
      </c>
      <c r="O30" s="24" t="s">
        <v>321</v>
      </c>
      <c r="P30" s="27"/>
      <c r="Q30" s="27"/>
      <c r="R30" s="31" t="s">
        <v>1326</v>
      </c>
      <c r="S30" s="33" t="s">
        <v>1327</v>
      </c>
      <c r="T30" s="29" t="s">
        <v>1309</v>
      </c>
      <c r="U30" s="24"/>
    </row>
    <row r="31" hidden="1">
      <c r="A31" s="30">
        <v>8.410793282934E12</v>
      </c>
      <c r="B31" s="20" t="s">
        <v>1335</v>
      </c>
      <c r="C31" s="21">
        <v>0.06</v>
      </c>
      <c r="D31" s="21">
        <v>0.228</v>
      </c>
      <c r="E31" s="21">
        <v>0.06</v>
      </c>
      <c r="F31" s="22">
        <v>5.0</v>
      </c>
      <c r="G31" s="23"/>
      <c r="H31" s="24" t="s">
        <v>1336</v>
      </c>
      <c r="I31" s="21" t="s">
        <v>1337</v>
      </c>
      <c r="J31" s="24" t="s">
        <v>1338</v>
      </c>
      <c r="K31" s="21" t="s">
        <v>1339</v>
      </c>
      <c r="L31" s="25" t="s">
        <v>1340</v>
      </c>
      <c r="M31" s="26" t="s">
        <v>28</v>
      </c>
      <c r="N31" s="24" t="s">
        <v>365</v>
      </c>
      <c r="O31" s="24" t="s">
        <v>536</v>
      </c>
      <c r="P31" s="27"/>
      <c r="Q31" s="27"/>
      <c r="R31" s="28" t="s">
        <v>1341</v>
      </c>
      <c r="S31" s="8" t="s">
        <v>1342</v>
      </c>
      <c r="T31" s="29" t="s">
        <v>1343</v>
      </c>
      <c r="U31" s="24"/>
    </row>
    <row r="32" hidden="1">
      <c r="A32" s="30">
        <v>7.290008775816E12</v>
      </c>
      <c r="B32" s="20" t="s">
        <v>3231</v>
      </c>
      <c r="C32" s="21">
        <v>0.13</v>
      </c>
      <c r="D32" s="21">
        <v>0.19</v>
      </c>
      <c r="E32" s="21">
        <v>0.055</v>
      </c>
      <c r="F32" s="22">
        <v>5.0</v>
      </c>
      <c r="G32" s="23"/>
      <c r="H32" s="24" t="s">
        <v>3232</v>
      </c>
      <c r="I32" s="21" t="s">
        <v>3233</v>
      </c>
      <c r="J32" s="24" t="s">
        <v>3234</v>
      </c>
      <c r="K32" s="21" t="s">
        <v>3235</v>
      </c>
      <c r="L32" s="25" t="s">
        <v>3236</v>
      </c>
      <c r="M32" s="26" t="s">
        <v>37</v>
      </c>
      <c r="N32" s="24" t="s">
        <v>2364</v>
      </c>
      <c r="O32" s="24" t="s">
        <v>3164</v>
      </c>
      <c r="P32" s="27"/>
      <c r="Q32" s="27"/>
      <c r="R32" s="28" t="s">
        <v>3237</v>
      </c>
      <c r="S32" s="8" t="s">
        <v>3238</v>
      </c>
      <c r="T32" s="29" t="e">
        <v>#N/A</v>
      </c>
      <c r="U32" s="24"/>
    </row>
    <row r="33" hidden="1">
      <c r="A33" s="30">
        <v>7.290008775823E12</v>
      </c>
      <c r="B33" s="20" t="s">
        <v>3239</v>
      </c>
      <c r="C33" s="21">
        <v>0.13</v>
      </c>
      <c r="D33" s="21">
        <v>0.19</v>
      </c>
      <c r="E33" s="21">
        <v>0.055</v>
      </c>
      <c r="F33" s="22">
        <v>5.0</v>
      </c>
      <c r="G33" s="23"/>
      <c r="H33" s="24" t="s">
        <v>3232</v>
      </c>
      <c r="I33" s="21" t="s">
        <v>3233</v>
      </c>
      <c r="J33" s="24" t="s">
        <v>3240</v>
      </c>
      <c r="K33" s="21" t="s">
        <v>3241</v>
      </c>
      <c r="L33" s="25" t="s">
        <v>3242</v>
      </c>
      <c r="M33" s="26" t="s">
        <v>37</v>
      </c>
      <c r="N33" s="24" t="s">
        <v>2364</v>
      </c>
      <c r="O33" s="24" t="s">
        <v>3164</v>
      </c>
      <c r="P33" s="27"/>
      <c r="Q33" s="27"/>
      <c r="R33" s="31" t="s">
        <v>3243</v>
      </c>
      <c r="S33" s="8" t="s">
        <v>3244</v>
      </c>
      <c r="T33" s="29" t="e">
        <v>#N/A</v>
      </c>
      <c r="U33" s="24"/>
    </row>
    <row r="34" hidden="1">
      <c r="A34" s="30">
        <v>7.290000077017E12</v>
      </c>
      <c r="B34" s="20" t="s">
        <v>3245</v>
      </c>
      <c r="C34" s="21">
        <v>0.25</v>
      </c>
      <c r="D34" s="21">
        <v>0.05</v>
      </c>
      <c r="E34" s="21">
        <v>0.06</v>
      </c>
      <c r="F34" s="22">
        <v>5.0</v>
      </c>
      <c r="G34" s="23"/>
      <c r="H34" s="24" t="s">
        <v>3232</v>
      </c>
      <c r="I34" s="21" t="s">
        <v>3233</v>
      </c>
      <c r="J34" s="24" t="s">
        <v>3246</v>
      </c>
      <c r="K34" s="21" t="s">
        <v>3247</v>
      </c>
      <c r="L34" s="25" t="s">
        <v>3248</v>
      </c>
      <c r="M34" s="26" t="s">
        <v>37</v>
      </c>
      <c r="N34" s="24" t="s">
        <v>2364</v>
      </c>
      <c r="O34" s="24" t="s">
        <v>3164</v>
      </c>
      <c r="P34" s="27"/>
      <c r="Q34" s="27"/>
      <c r="R34" s="28" t="s">
        <v>3249</v>
      </c>
      <c r="S34" s="8" t="s">
        <v>3250</v>
      </c>
      <c r="T34" s="29" t="e">
        <v>#N/A</v>
      </c>
      <c r="U34" s="24"/>
    </row>
    <row r="35" hidden="1">
      <c r="A35" s="30">
        <v>7.290000074962E12</v>
      </c>
      <c r="B35" s="20" t="s">
        <v>3251</v>
      </c>
      <c r="C35" s="21">
        <v>0.13</v>
      </c>
      <c r="D35" s="21">
        <v>0.18</v>
      </c>
      <c r="E35" s="21">
        <v>0.065</v>
      </c>
      <c r="F35" s="22">
        <v>5.0</v>
      </c>
      <c r="G35" s="23"/>
      <c r="H35" s="24" t="s">
        <v>3232</v>
      </c>
      <c r="I35" s="21" t="s">
        <v>3233</v>
      </c>
      <c r="J35" s="24" t="s">
        <v>3252</v>
      </c>
      <c r="K35" s="21" t="s">
        <v>3253</v>
      </c>
      <c r="L35" s="25" t="s">
        <v>3254</v>
      </c>
      <c r="M35" s="26" t="s">
        <v>37</v>
      </c>
      <c r="N35" s="24" t="s">
        <v>2364</v>
      </c>
      <c r="O35" s="24" t="s">
        <v>2647</v>
      </c>
      <c r="P35" s="27"/>
      <c r="Q35" s="27"/>
      <c r="R35" s="28" t="s">
        <v>3255</v>
      </c>
      <c r="S35" s="8" t="s">
        <v>3256</v>
      </c>
      <c r="T35" s="29" t="e">
        <v>#N/A</v>
      </c>
      <c r="U35" s="24"/>
    </row>
    <row r="36" hidden="1">
      <c r="A36" s="30">
        <v>7.290000075143E12</v>
      </c>
      <c r="B36" s="20" t="s">
        <v>3257</v>
      </c>
      <c r="C36" s="21">
        <v>0.285</v>
      </c>
      <c r="D36" s="21">
        <v>0.08</v>
      </c>
      <c r="E36" s="21">
        <v>0.05</v>
      </c>
      <c r="F36" s="22">
        <v>6.0</v>
      </c>
      <c r="G36" s="23"/>
      <c r="H36" s="24" t="s">
        <v>3232</v>
      </c>
      <c r="I36" s="21" t="s">
        <v>3233</v>
      </c>
      <c r="J36" s="24" t="s">
        <v>3258</v>
      </c>
      <c r="K36" s="21" t="s">
        <v>3259</v>
      </c>
      <c r="L36" s="25" t="s">
        <v>3260</v>
      </c>
      <c r="M36" s="26" t="s">
        <v>37</v>
      </c>
      <c r="N36" s="24" t="s">
        <v>2364</v>
      </c>
      <c r="O36" s="24" t="s">
        <v>2647</v>
      </c>
      <c r="P36" s="27"/>
      <c r="Q36" s="27"/>
      <c r="R36" s="28" t="s">
        <v>3261</v>
      </c>
      <c r="S36" s="8" t="s">
        <v>3262</v>
      </c>
      <c r="T36" s="29" t="e">
        <v>#N/A</v>
      </c>
      <c r="U36" s="24"/>
    </row>
    <row r="37" hidden="1">
      <c r="A37" s="30">
        <v>63133.0</v>
      </c>
      <c r="B37" s="20" t="s">
        <v>3263</v>
      </c>
      <c r="C37" s="21">
        <v>0.065</v>
      </c>
      <c r="D37" s="21">
        <v>0.16</v>
      </c>
      <c r="E37" s="21">
        <v>0.02</v>
      </c>
      <c r="F37" s="22">
        <v>15.0</v>
      </c>
      <c r="G37" s="23"/>
      <c r="H37" s="24" t="s">
        <v>3232</v>
      </c>
      <c r="I37" s="21" t="s">
        <v>3233</v>
      </c>
      <c r="J37" s="24" t="s">
        <v>3264</v>
      </c>
      <c r="K37" s="21" t="s">
        <v>3265</v>
      </c>
      <c r="L37" s="25" t="s">
        <v>3266</v>
      </c>
      <c r="M37" s="26" t="s">
        <v>28</v>
      </c>
      <c r="N37" s="24" t="s">
        <v>3267</v>
      </c>
      <c r="O37" s="24" t="s">
        <v>3268</v>
      </c>
      <c r="P37" s="27"/>
      <c r="Q37" s="27"/>
      <c r="R37" s="28" t="s">
        <v>3269</v>
      </c>
      <c r="S37" s="8" t="s">
        <v>3270</v>
      </c>
      <c r="T37" s="29" t="s">
        <v>3271</v>
      </c>
      <c r="U37" s="24"/>
    </row>
    <row r="38" hidden="1">
      <c r="A38" s="30">
        <v>7.290000066349E12</v>
      </c>
      <c r="B38" s="20" t="s">
        <v>103</v>
      </c>
      <c r="C38" s="21">
        <v>0.145</v>
      </c>
      <c r="D38" s="21">
        <v>0.225</v>
      </c>
      <c r="E38" s="21">
        <v>0.06</v>
      </c>
      <c r="F38" s="22">
        <v>5.0</v>
      </c>
      <c r="G38" s="23"/>
      <c r="H38" s="24" t="s">
        <v>104</v>
      </c>
      <c r="I38" s="21" t="s">
        <v>105</v>
      </c>
      <c r="J38" s="24" t="s">
        <v>106</v>
      </c>
      <c r="K38" s="21" t="s">
        <v>107</v>
      </c>
      <c r="L38" s="25" t="s">
        <v>108</v>
      </c>
      <c r="M38" s="26" t="s">
        <v>37</v>
      </c>
      <c r="N38" s="24" t="s">
        <v>109</v>
      </c>
      <c r="O38" s="24" t="s">
        <v>110</v>
      </c>
      <c r="P38" s="27"/>
      <c r="Q38" s="27"/>
      <c r="R38" s="28" t="s">
        <v>111</v>
      </c>
      <c r="S38" s="8" t="s">
        <v>112</v>
      </c>
      <c r="T38" s="29" t="e">
        <v>#N/A</v>
      </c>
      <c r="U38" s="21" t="s">
        <v>113</v>
      </c>
    </row>
    <row r="39" hidden="1">
      <c r="A39" s="30">
        <v>7.290000066332E12</v>
      </c>
      <c r="B39" s="20" t="s">
        <v>114</v>
      </c>
      <c r="C39" s="21">
        <v>0.125</v>
      </c>
      <c r="D39" s="21">
        <v>0.1665</v>
      </c>
      <c r="E39" s="21">
        <v>0.06</v>
      </c>
      <c r="F39" s="22">
        <v>5.0</v>
      </c>
      <c r="G39" s="23"/>
      <c r="H39" s="24" t="s">
        <v>104</v>
      </c>
      <c r="I39" s="21" t="s">
        <v>105</v>
      </c>
      <c r="J39" s="24" t="s">
        <v>115</v>
      </c>
      <c r="K39" s="21" t="s">
        <v>116</v>
      </c>
      <c r="L39" s="25" t="s">
        <v>117</v>
      </c>
      <c r="M39" s="26" t="s">
        <v>37</v>
      </c>
      <c r="N39" s="24" t="s">
        <v>109</v>
      </c>
      <c r="O39" s="24" t="s">
        <v>110</v>
      </c>
      <c r="P39" s="27"/>
      <c r="Q39" s="27"/>
      <c r="R39" s="28" t="s">
        <v>118</v>
      </c>
      <c r="S39" s="8" t="s">
        <v>119</v>
      </c>
      <c r="T39" s="29" t="e">
        <v>#N/A</v>
      </c>
      <c r="U39" s="21" t="s">
        <v>113</v>
      </c>
    </row>
    <row r="40" hidden="1">
      <c r="A40" s="30">
        <v>7.290104500572E12</v>
      </c>
      <c r="B40" s="20" t="s">
        <v>120</v>
      </c>
      <c r="C40" s="21">
        <v>0.125</v>
      </c>
      <c r="D40" s="21">
        <v>0.1665</v>
      </c>
      <c r="E40" s="21">
        <v>0.06</v>
      </c>
      <c r="F40" s="22">
        <v>5.0</v>
      </c>
      <c r="G40" s="23"/>
      <c r="H40" s="24" t="s">
        <v>104</v>
      </c>
      <c r="I40" s="21" t="s">
        <v>105</v>
      </c>
      <c r="J40" s="24" t="s">
        <v>121</v>
      </c>
      <c r="K40" s="21" t="s">
        <v>122</v>
      </c>
      <c r="L40" s="25" t="s">
        <v>123</v>
      </c>
      <c r="M40" s="26" t="s">
        <v>28</v>
      </c>
      <c r="N40" s="24" t="s">
        <v>109</v>
      </c>
      <c r="O40" s="24" t="s">
        <v>110</v>
      </c>
      <c r="P40" s="27"/>
      <c r="Q40" s="27"/>
      <c r="R40" s="28" t="s">
        <v>124</v>
      </c>
      <c r="S40" s="8" t="s">
        <v>123</v>
      </c>
      <c r="T40" s="29" t="s">
        <v>105</v>
      </c>
      <c r="U40" s="21" t="s">
        <v>113</v>
      </c>
    </row>
    <row r="41" hidden="1">
      <c r="A41" s="30">
        <v>7.290106576223E12</v>
      </c>
      <c r="B41" s="20" t="s">
        <v>125</v>
      </c>
      <c r="C41" s="21">
        <v>0.13</v>
      </c>
      <c r="D41" s="21">
        <v>0.12</v>
      </c>
      <c r="E41" s="21">
        <v>0.04</v>
      </c>
      <c r="F41" s="22">
        <v>8.0</v>
      </c>
      <c r="G41" s="23"/>
      <c r="H41" s="24" t="s">
        <v>104</v>
      </c>
      <c r="I41" s="21" t="s">
        <v>105</v>
      </c>
      <c r="J41" s="24" t="s">
        <v>126</v>
      </c>
      <c r="K41" s="21" t="s">
        <v>127</v>
      </c>
      <c r="L41" s="25" t="s">
        <v>128</v>
      </c>
      <c r="M41" s="26" t="s">
        <v>28</v>
      </c>
      <c r="N41" s="24" t="s">
        <v>109</v>
      </c>
      <c r="O41" s="24" t="s">
        <v>110</v>
      </c>
      <c r="P41" s="27"/>
      <c r="Q41" s="27"/>
      <c r="R41" s="28" t="s">
        <v>129</v>
      </c>
      <c r="S41" s="8" t="s">
        <v>128</v>
      </c>
      <c r="T41" s="29" t="s">
        <v>105</v>
      </c>
      <c r="U41" s="21" t="s">
        <v>113</v>
      </c>
    </row>
    <row r="42" hidden="1">
      <c r="A42" s="30">
        <v>7.290013038432E12</v>
      </c>
      <c r="B42" s="20" t="s">
        <v>130</v>
      </c>
      <c r="C42" s="21">
        <v>0.09999999</v>
      </c>
      <c r="D42" s="21">
        <v>0.35</v>
      </c>
      <c r="E42" s="21">
        <v>0.09</v>
      </c>
      <c r="F42" s="22">
        <v>3.0</v>
      </c>
      <c r="G42" s="23"/>
      <c r="H42" s="24" t="s">
        <v>131</v>
      </c>
      <c r="I42" s="21" t="s">
        <v>132</v>
      </c>
      <c r="J42" s="24" t="s">
        <v>134</v>
      </c>
      <c r="K42" s="21" t="s">
        <v>135</v>
      </c>
      <c r="L42" s="25" t="s">
        <v>136</v>
      </c>
      <c r="M42" s="26" t="s">
        <v>28</v>
      </c>
      <c r="N42" s="24" t="s">
        <v>137</v>
      </c>
      <c r="O42" s="24" t="s">
        <v>138</v>
      </c>
      <c r="P42" s="27"/>
      <c r="Q42" s="27"/>
      <c r="R42" s="28" t="s">
        <v>139</v>
      </c>
      <c r="S42" s="8" t="s">
        <v>140</v>
      </c>
      <c r="T42" s="29" t="s">
        <v>141</v>
      </c>
      <c r="U42" s="24"/>
    </row>
    <row r="43" hidden="1">
      <c r="A43" s="30">
        <v>2.0</v>
      </c>
      <c r="B43" s="20" t="s">
        <v>2588</v>
      </c>
      <c r="C43" s="21">
        <v>1.2</v>
      </c>
      <c r="D43" s="21">
        <v>0.18</v>
      </c>
      <c r="E43" s="21">
        <v>0.4</v>
      </c>
      <c r="F43" s="22">
        <v>15.0</v>
      </c>
      <c r="G43" s="23"/>
      <c r="H43" s="24" t="s">
        <v>2589</v>
      </c>
      <c r="I43" s="21" t="s">
        <v>2590</v>
      </c>
      <c r="J43" s="24" t="s">
        <v>2591</v>
      </c>
      <c r="K43" s="21" t="s">
        <v>2592</v>
      </c>
      <c r="L43" s="25" t="s">
        <v>2593</v>
      </c>
      <c r="M43" s="26" t="s">
        <v>37</v>
      </c>
      <c r="N43" s="23"/>
      <c r="O43" s="23"/>
      <c r="P43" s="23"/>
      <c r="Q43" s="41"/>
      <c r="R43" s="31" t="s">
        <v>2594</v>
      </c>
      <c r="S43" s="33" t="s">
        <v>2595</v>
      </c>
      <c r="T43" s="29" t="e">
        <v>#N/A</v>
      </c>
      <c r="U43" s="23"/>
    </row>
    <row r="44" hidden="1">
      <c r="A44" s="30">
        <v>6.13008753382E11</v>
      </c>
      <c r="B44" s="20" t="s">
        <v>142</v>
      </c>
      <c r="C44" s="21">
        <v>0.065</v>
      </c>
      <c r="D44" s="21">
        <v>0.2</v>
      </c>
      <c r="E44" s="21">
        <v>0.065</v>
      </c>
      <c r="F44" s="22">
        <v>5.0</v>
      </c>
      <c r="G44" s="23"/>
      <c r="H44" s="24" t="s">
        <v>143</v>
      </c>
      <c r="I44" s="21" t="s">
        <v>144</v>
      </c>
      <c r="J44" s="24" t="s">
        <v>146</v>
      </c>
      <c r="K44" s="21" t="s">
        <v>147</v>
      </c>
      <c r="L44" s="25" t="s">
        <v>148</v>
      </c>
      <c r="M44" s="26" t="s">
        <v>28</v>
      </c>
      <c r="N44" s="24" t="s">
        <v>149</v>
      </c>
      <c r="O44" s="24" t="s">
        <v>150</v>
      </c>
      <c r="P44" s="27"/>
      <c r="Q44" s="27"/>
      <c r="R44" s="28" t="s">
        <v>151</v>
      </c>
      <c r="S44" s="8" t="s">
        <v>152</v>
      </c>
      <c r="T44" s="29" t="s">
        <v>144</v>
      </c>
      <c r="U44" s="24"/>
    </row>
    <row r="45" hidden="1">
      <c r="A45" s="30">
        <v>6.1300875329E11</v>
      </c>
      <c r="B45" s="20" t="s">
        <v>172</v>
      </c>
      <c r="C45" s="21">
        <v>0.065</v>
      </c>
      <c r="D45" s="21">
        <v>0.2</v>
      </c>
      <c r="E45" s="21">
        <v>0.065</v>
      </c>
      <c r="F45" s="22">
        <v>5.0</v>
      </c>
      <c r="G45" s="23"/>
      <c r="H45" s="24" t="s">
        <v>143</v>
      </c>
      <c r="I45" s="21" t="s">
        <v>144</v>
      </c>
      <c r="J45" s="24" t="s">
        <v>173</v>
      </c>
      <c r="K45" s="21" t="s">
        <v>174</v>
      </c>
      <c r="L45" s="25" t="s">
        <v>175</v>
      </c>
      <c r="M45" s="26" t="s">
        <v>28</v>
      </c>
      <c r="N45" s="24" t="s">
        <v>149</v>
      </c>
      <c r="O45" s="24" t="s">
        <v>150</v>
      </c>
      <c r="P45" s="27"/>
      <c r="Q45" s="27"/>
      <c r="R45" s="28" t="s">
        <v>176</v>
      </c>
      <c r="S45" s="8" t="s">
        <v>177</v>
      </c>
      <c r="T45" s="29" t="s">
        <v>144</v>
      </c>
      <c r="U45" s="24"/>
    </row>
    <row r="46" hidden="1">
      <c r="A46" s="30">
        <v>6.1300875332E11</v>
      </c>
      <c r="B46" s="20" t="s">
        <v>153</v>
      </c>
      <c r="C46" s="21">
        <v>0.065</v>
      </c>
      <c r="D46" s="21">
        <v>0.2</v>
      </c>
      <c r="E46" s="21">
        <v>0.065</v>
      </c>
      <c r="F46" s="22">
        <v>5.0</v>
      </c>
      <c r="G46" s="23"/>
      <c r="H46" s="24" t="s">
        <v>143</v>
      </c>
      <c r="I46" s="21" t="s">
        <v>144</v>
      </c>
      <c r="J46" s="24" t="s">
        <v>154</v>
      </c>
      <c r="K46" s="21" t="s">
        <v>155</v>
      </c>
      <c r="L46" s="25" t="s">
        <v>156</v>
      </c>
      <c r="M46" s="26" t="s">
        <v>28</v>
      </c>
      <c r="N46" s="24" t="s">
        <v>149</v>
      </c>
      <c r="O46" s="24" t="s">
        <v>150</v>
      </c>
      <c r="P46" s="27"/>
      <c r="Q46" s="27"/>
      <c r="R46" s="28" t="s">
        <v>157</v>
      </c>
      <c r="S46" s="8" t="s">
        <v>158</v>
      </c>
      <c r="T46" s="29" t="s">
        <v>144</v>
      </c>
      <c r="U46" s="24"/>
    </row>
    <row r="47" hidden="1">
      <c r="A47" s="30">
        <v>6.13008742409E11</v>
      </c>
      <c r="B47" s="20" t="s">
        <v>166</v>
      </c>
      <c r="C47" s="21">
        <v>0.08</v>
      </c>
      <c r="D47" s="21">
        <v>0.28</v>
      </c>
      <c r="E47" s="21">
        <v>0.08</v>
      </c>
      <c r="F47" s="22">
        <v>4.0</v>
      </c>
      <c r="G47" s="23"/>
      <c r="H47" s="24" t="s">
        <v>143</v>
      </c>
      <c r="I47" s="21" t="s">
        <v>144</v>
      </c>
      <c r="J47" s="24" t="s">
        <v>167</v>
      </c>
      <c r="K47" s="21" t="s">
        <v>168</v>
      </c>
      <c r="L47" s="25" t="s">
        <v>169</v>
      </c>
      <c r="M47" s="26" t="s">
        <v>28</v>
      </c>
      <c r="N47" s="24" t="s">
        <v>149</v>
      </c>
      <c r="O47" s="24" t="s">
        <v>163</v>
      </c>
      <c r="P47" s="27"/>
      <c r="Q47" s="27"/>
      <c r="R47" s="31" t="s">
        <v>170</v>
      </c>
      <c r="S47" s="33" t="s">
        <v>171</v>
      </c>
      <c r="T47" s="29" t="s">
        <v>144</v>
      </c>
      <c r="U47" s="24"/>
    </row>
    <row r="48" hidden="1">
      <c r="A48" s="30">
        <v>6.13008742348E11</v>
      </c>
      <c r="B48" s="20" t="s">
        <v>159</v>
      </c>
      <c r="C48" s="21">
        <v>0.08</v>
      </c>
      <c r="D48" s="21">
        <v>0.28</v>
      </c>
      <c r="E48" s="21">
        <v>0.08</v>
      </c>
      <c r="F48" s="22">
        <v>4.0</v>
      </c>
      <c r="G48" s="23"/>
      <c r="H48" s="24" t="s">
        <v>143</v>
      </c>
      <c r="I48" s="21" t="s">
        <v>144</v>
      </c>
      <c r="J48" s="24" t="s">
        <v>160</v>
      </c>
      <c r="K48" s="21" t="s">
        <v>161</v>
      </c>
      <c r="L48" s="25" t="s">
        <v>162</v>
      </c>
      <c r="M48" s="26" t="s">
        <v>28</v>
      </c>
      <c r="N48" s="24" t="s">
        <v>149</v>
      </c>
      <c r="O48" s="24" t="s">
        <v>163</v>
      </c>
      <c r="P48" s="27"/>
      <c r="Q48" s="27"/>
      <c r="R48" s="28" t="s">
        <v>164</v>
      </c>
      <c r="S48" s="8" t="s">
        <v>165</v>
      </c>
      <c r="T48" s="29" t="s">
        <v>144</v>
      </c>
      <c r="U48" s="24"/>
    </row>
    <row r="49" hidden="1">
      <c r="A49" s="30">
        <v>5.410228267508E12</v>
      </c>
      <c r="B49" s="20" t="s">
        <v>529</v>
      </c>
      <c r="C49" s="21">
        <v>0.055</v>
      </c>
      <c r="D49" s="21">
        <v>0.23</v>
      </c>
      <c r="E49" s="21">
        <v>0.055</v>
      </c>
      <c r="F49" s="22">
        <v>5.0</v>
      </c>
      <c r="G49" s="23"/>
      <c r="H49" s="24" t="s">
        <v>530</v>
      </c>
      <c r="I49" s="21" t="s">
        <v>531</v>
      </c>
      <c r="J49" s="24" t="s">
        <v>533</v>
      </c>
      <c r="K49" s="21" t="s">
        <v>534</v>
      </c>
      <c r="L49" s="25" t="s">
        <v>535</v>
      </c>
      <c r="M49" s="26" t="s">
        <v>28</v>
      </c>
      <c r="N49" s="24" t="s">
        <v>365</v>
      </c>
      <c r="O49" s="24" t="s">
        <v>536</v>
      </c>
      <c r="P49" s="27"/>
      <c r="Q49" s="27"/>
      <c r="R49" s="28" t="s">
        <v>537</v>
      </c>
      <c r="S49" s="8" t="s">
        <v>538</v>
      </c>
      <c r="T49" s="29" t="s">
        <v>531</v>
      </c>
      <c r="U49" s="24"/>
    </row>
    <row r="50" hidden="1">
      <c r="A50" s="30">
        <v>5.014379009972E12</v>
      </c>
      <c r="B50" s="20" t="s">
        <v>539</v>
      </c>
      <c r="C50" s="21">
        <v>0.055</v>
      </c>
      <c r="D50" s="21">
        <v>0.17</v>
      </c>
      <c r="E50" s="21">
        <v>0.055</v>
      </c>
      <c r="F50" s="22">
        <v>5.0</v>
      </c>
      <c r="G50" s="23"/>
      <c r="H50" s="24" t="s">
        <v>530</v>
      </c>
      <c r="I50" s="21" t="s">
        <v>531</v>
      </c>
      <c r="J50" s="24" t="s">
        <v>540</v>
      </c>
      <c r="K50" s="21" t="s">
        <v>541</v>
      </c>
      <c r="L50" s="25" t="s">
        <v>542</v>
      </c>
      <c r="M50" s="26" t="s">
        <v>28</v>
      </c>
      <c r="N50" s="24" t="s">
        <v>365</v>
      </c>
      <c r="O50" s="24" t="s">
        <v>543</v>
      </c>
      <c r="P50" s="27"/>
      <c r="Q50" s="27"/>
      <c r="R50" s="31" t="s">
        <v>544</v>
      </c>
      <c r="S50" s="33" t="s">
        <v>545</v>
      </c>
      <c r="T50" s="29" t="s">
        <v>546</v>
      </c>
      <c r="U50" s="24"/>
    </row>
    <row r="51" hidden="1">
      <c r="A51" s="30">
        <v>4.0111216E7</v>
      </c>
      <c r="B51" s="20" t="s">
        <v>495</v>
      </c>
      <c r="C51" s="21">
        <v>0.155</v>
      </c>
      <c r="D51" s="21">
        <v>0.04</v>
      </c>
      <c r="E51" s="21">
        <v>0.02</v>
      </c>
      <c r="F51" s="22">
        <v>15.0</v>
      </c>
      <c r="G51" s="23"/>
      <c r="H51" s="24" t="s">
        <v>496</v>
      </c>
      <c r="I51" s="21" t="s">
        <v>497</v>
      </c>
      <c r="J51" s="24" t="s">
        <v>498</v>
      </c>
      <c r="K51" s="21" t="s">
        <v>499</v>
      </c>
      <c r="L51" s="25" t="s">
        <v>500</v>
      </c>
      <c r="M51" s="26" t="s">
        <v>28</v>
      </c>
      <c r="N51" s="24" t="s">
        <v>501</v>
      </c>
      <c r="O51" s="24" t="s">
        <v>502</v>
      </c>
      <c r="P51" s="27"/>
      <c r="Q51" s="27"/>
      <c r="R51" s="31" t="s">
        <v>503</v>
      </c>
      <c r="S51" s="8" t="s">
        <v>504</v>
      </c>
      <c r="T51" s="29" t="s">
        <v>497</v>
      </c>
      <c r="U51" s="24"/>
    </row>
    <row r="52" hidden="1">
      <c r="A52" s="30">
        <v>7.290102035007E12</v>
      </c>
      <c r="B52" s="20" t="s">
        <v>303</v>
      </c>
      <c r="C52" s="21">
        <v>0.046</v>
      </c>
      <c r="D52" s="21">
        <v>0.076</v>
      </c>
      <c r="E52" s="21">
        <v>0.02</v>
      </c>
      <c r="F52" s="22">
        <v>15.0</v>
      </c>
      <c r="G52" s="23"/>
      <c r="H52" s="24" t="s">
        <v>304</v>
      </c>
      <c r="I52" s="21" t="s">
        <v>305</v>
      </c>
      <c r="J52" s="24" t="s">
        <v>306</v>
      </c>
      <c r="K52" s="21" t="s">
        <v>307</v>
      </c>
      <c r="L52" s="25" t="s">
        <v>308</v>
      </c>
      <c r="M52" s="26" t="s">
        <v>28</v>
      </c>
      <c r="N52" s="24" t="s">
        <v>309</v>
      </c>
      <c r="O52" s="24" t="s">
        <v>310</v>
      </c>
      <c r="P52" s="27"/>
      <c r="Q52" s="27"/>
      <c r="R52" s="28" t="s">
        <v>311</v>
      </c>
      <c r="S52" s="8" t="s">
        <v>312</v>
      </c>
      <c r="T52" s="29" t="s">
        <v>313</v>
      </c>
      <c r="U52" s="24"/>
    </row>
    <row r="53" hidden="1">
      <c r="A53" s="30">
        <v>6.02652258244E11</v>
      </c>
      <c r="B53" s="20" t="s">
        <v>314</v>
      </c>
      <c r="C53" s="21">
        <v>0.162</v>
      </c>
      <c r="D53" s="21">
        <v>0.05</v>
      </c>
      <c r="E53" s="21">
        <v>0.02</v>
      </c>
      <c r="F53" s="22">
        <v>15.0</v>
      </c>
      <c r="G53" s="23"/>
      <c r="H53" s="24" t="s">
        <v>315</v>
      </c>
      <c r="I53" s="21" t="s">
        <v>316</v>
      </c>
      <c r="J53" s="24" t="s">
        <v>317</v>
      </c>
      <c r="K53" s="21" t="s">
        <v>318</v>
      </c>
      <c r="L53" s="25" t="s">
        <v>319</v>
      </c>
      <c r="M53" s="26" t="s">
        <v>28</v>
      </c>
      <c r="N53" s="24" t="s">
        <v>320</v>
      </c>
      <c r="O53" s="24" t="s">
        <v>321</v>
      </c>
      <c r="P53" s="27"/>
      <c r="Q53" s="27"/>
      <c r="R53" s="28" t="s">
        <v>322</v>
      </c>
      <c r="S53" s="8" t="s">
        <v>323</v>
      </c>
      <c r="T53" s="29" t="s">
        <v>316</v>
      </c>
      <c r="U53" s="24"/>
    </row>
    <row r="54" hidden="1">
      <c r="A54" s="30">
        <v>5.00015952832E12</v>
      </c>
      <c r="B54" s="20" t="s">
        <v>314</v>
      </c>
      <c r="C54" s="21">
        <v>0.162</v>
      </c>
      <c r="D54" s="21">
        <v>0.05</v>
      </c>
      <c r="E54" s="21">
        <v>0.02</v>
      </c>
      <c r="F54" s="22">
        <v>15.0</v>
      </c>
      <c r="G54" s="23"/>
      <c r="H54" s="24" t="s">
        <v>315</v>
      </c>
      <c r="I54" s="21" t="s">
        <v>316</v>
      </c>
      <c r="J54" s="24" t="s">
        <v>317</v>
      </c>
      <c r="K54" s="21" t="s">
        <v>318</v>
      </c>
      <c r="L54" s="25" t="s">
        <v>324</v>
      </c>
      <c r="M54" s="26" t="s">
        <v>28</v>
      </c>
      <c r="N54" s="24" t="s">
        <v>320</v>
      </c>
      <c r="O54" s="24" t="s">
        <v>321</v>
      </c>
      <c r="P54" s="27"/>
      <c r="Q54" s="27"/>
      <c r="R54" s="28" t="s">
        <v>325</v>
      </c>
      <c r="S54" s="8" t="s">
        <v>326</v>
      </c>
      <c r="T54" s="29" t="s">
        <v>327</v>
      </c>
      <c r="U54" s="24"/>
    </row>
    <row r="55" hidden="1">
      <c r="A55" s="30">
        <v>6.02652257834E11</v>
      </c>
      <c r="B55" s="20" t="s">
        <v>328</v>
      </c>
      <c r="C55" s="21">
        <v>0.162</v>
      </c>
      <c r="D55" s="21">
        <v>0.05</v>
      </c>
      <c r="E55" s="21">
        <v>0.02</v>
      </c>
      <c r="F55" s="22">
        <v>15.0</v>
      </c>
      <c r="G55" s="23"/>
      <c r="H55" s="24" t="s">
        <v>315</v>
      </c>
      <c r="I55" s="21" t="s">
        <v>316</v>
      </c>
      <c r="J55" s="24" t="s">
        <v>329</v>
      </c>
      <c r="K55" s="21" t="s">
        <v>330</v>
      </c>
      <c r="L55" s="25" t="s">
        <v>331</v>
      </c>
      <c r="M55" s="26" t="s">
        <v>28</v>
      </c>
      <c r="N55" s="24" t="s">
        <v>320</v>
      </c>
      <c r="O55" s="24" t="s">
        <v>321</v>
      </c>
      <c r="P55" s="27"/>
      <c r="Q55" s="27"/>
      <c r="R55" s="28" t="s">
        <v>332</v>
      </c>
      <c r="S55" s="8" t="s">
        <v>333</v>
      </c>
      <c r="T55" s="29" t="s">
        <v>327</v>
      </c>
      <c r="U55" s="24"/>
    </row>
    <row r="56" hidden="1">
      <c r="A56" s="30">
        <v>7.290112966025E12</v>
      </c>
      <c r="B56" s="20" t="s">
        <v>3579</v>
      </c>
      <c r="C56" s="21">
        <v>0.12</v>
      </c>
      <c r="D56" s="21">
        <v>0.185</v>
      </c>
      <c r="E56" s="21">
        <v>0.05</v>
      </c>
      <c r="F56" s="22">
        <v>6.0</v>
      </c>
      <c r="G56" s="23"/>
      <c r="H56" s="24" t="s">
        <v>1413</v>
      </c>
      <c r="I56" s="21" t="s">
        <v>3552</v>
      </c>
      <c r="J56" s="24" t="s">
        <v>3580</v>
      </c>
      <c r="K56" s="21" t="s">
        <v>3581</v>
      </c>
      <c r="L56" s="25" t="s">
        <v>3582</v>
      </c>
      <c r="M56" s="26" t="s">
        <v>28</v>
      </c>
      <c r="N56" s="24" t="s">
        <v>1413</v>
      </c>
      <c r="O56" s="24" t="s">
        <v>3563</v>
      </c>
      <c r="P56" s="27"/>
      <c r="Q56" s="27"/>
      <c r="R56" s="28" t="s">
        <v>3583</v>
      </c>
      <c r="S56" s="8" t="s">
        <v>3582</v>
      </c>
      <c r="T56" s="29" t="s">
        <v>3558</v>
      </c>
      <c r="U56" s="21" t="s">
        <v>32</v>
      </c>
    </row>
    <row r="57" hidden="1">
      <c r="A57" s="30">
        <v>7.290000071008E12</v>
      </c>
      <c r="B57" s="20" t="s">
        <v>3559</v>
      </c>
      <c r="C57" s="21">
        <v>0.09999999</v>
      </c>
      <c r="D57" s="21">
        <v>0.19</v>
      </c>
      <c r="E57" s="21">
        <v>0.04</v>
      </c>
      <c r="F57" s="22">
        <v>8.0</v>
      </c>
      <c r="G57" s="23"/>
      <c r="H57" s="24" t="s">
        <v>1413</v>
      </c>
      <c r="I57" s="21" t="s">
        <v>3552</v>
      </c>
      <c r="J57" s="24" t="s">
        <v>3560</v>
      </c>
      <c r="K57" s="21" t="s">
        <v>3561</v>
      </c>
      <c r="L57" s="25" t="s">
        <v>3562</v>
      </c>
      <c r="M57" s="26" t="s">
        <v>37</v>
      </c>
      <c r="N57" s="24" t="s">
        <v>1413</v>
      </c>
      <c r="O57" s="24" t="s">
        <v>3563</v>
      </c>
      <c r="P57" s="27"/>
      <c r="Q57" s="27"/>
      <c r="R57" s="28" t="s">
        <v>3564</v>
      </c>
      <c r="S57" s="8" t="s">
        <v>3565</v>
      </c>
      <c r="T57" s="29" t="e">
        <v>#N/A</v>
      </c>
      <c r="U57" s="21" t="s">
        <v>32</v>
      </c>
    </row>
    <row r="58" hidden="1">
      <c r="A58" s="30">
        <v>7.290000076126E12</v>
      </c>
      <c r="B58" s="20" t="s">
        <v>3573</v>
      </c>
      <c r="C58" s="21">
        <v>0.115</v>
      </c>
      <c r="D58" s="21">
        <v>0.195</v>
      </c>
      <c r="E58" s="21">
        <v>0.03</v>
      </c>
      <c r="F58" s="22">
        <v>10.0</v>
      </c>
      <c r="G58" s="23"/>
      <c r="H58" s="24" t="s">
        <v>1413</v>
      </c>
      <c r="I58" s="21" t="s">
        <v>3552</v>
      </c>
      <c r="J58" s="24" t="s">
        <v>3574</v>
      </c>
      <c r="K58" s="21" t="s">
        <v>3575</v>
      </c>
      <c r="L58" s="25" t="s">
        <v>3576</v>
      </c>
      <c r="M58" s="26" t="s">
        <v>37</v>
      </c>
      <c r="N58" s="24" t="s">
        <v>1413</v>
      </c>
      <c r="O58" s="24" t="s">
        <v>3563</v>
      </c>
      <c r="P58" s="27"/>
      <c r="Q58" s="27"/>
      <c r="R58" s="28" t="s">
        <v>3577</v>
      </c>
      <c r="S58" s="8" t="s">
        <v>3578</v>
      </c>
      <c r="T58" s="29" t="e">
        <v>#N/A</v>
      </c>
      <c r="U58" s="21" t="s">
        <v>32</v>
      </c>
    </row>
    <row r="59" hidden="1">
      <c r="A59" s="30">
        <v>7.290000076133E12</v>
      </c>
      <c r="B59" s="20" t="s">
        <v>3566</v>
      </c>
      <c r="C59" s="21">
        <v>0.15</v>
      </c>
      <c r="D59" s="21">
        <v>0.23</v>
      </c>
      <c r="E59" s="21">
        <v>0.085</v>
      </c>
      <c r="F59" s="22">
        <v>4.0</v>
      </c>
      <c r="G59" s="23"/>
      <c r="H59" s="24" t="s">
        <v>1413</v>
      </c>
      <c r="I59" s="21" t="s">
        <v>3552</v>
      </c>
      <c r="J59" s="24" t="s">
        <v>3567</v>
      </c>
      <c r="K59" s="21" t="s">
        <v>3568</v>
      </c>
      <c r="L59" s="25" t="s">
        <v>3569</v>
      </c>
      <c r="M59" s="26" t="s">
        <v>37</v>
      </c>
      <c r="N59" s="24" t="s">
        <v>1413</v>
      </c>
      <c r="O59" s="24" t="s">
        <v>3570</v>
      </c>
      <c r="P59" s="27"/>
      <c r="Q59" s="27"/>
      <c r="R59" s="28" t="s">
        <v>3571</v>
      </c>
      <c r="S59" s="8" t="s">
        <v>3572</v>
      </c>
      <c r="T59" s="29" t="e">
        <v>#N/A</v>
      </c>
      <c r="U59" s="21" t="s">
        <v>32</v>
      </c>
    </row>
    <row r="60" hidden="1">
      <c r="A60" s="30">
        <v>7.290106574977E12</v>
      </c>
      <c r="B60" s="20" t="s">
        <v>3551</v>
      </c>
      <c r="C60" s="21">
        <v>0.15</v>
      </c>
      <c r="D60" s="21">
        <v>0.23</v>
      </c>
      <c r="E60" s="21">
        <v>0.08</v>
      </c>
      <c r="F60" s="22">
        <v>4.0</v>
      </c>
      <c r="G60" s="23"/>
      <c r="H60" s="24" t="s">
        <v>1413</v>
      </c>
      <c r="I60" s="21" t="s">
        <v>3552</v>
      </c>
      <c r="J60" s="24" t="s">
        <v>3553</v>
      </c>
      <c r="K60" s="21" t="s">
        <v>3554</v>
      </c>
      <c r="L60" s="25" t="s">
        <v>3555</v>
      </c>
      <c r="M60" s="26" t="s">
        <v>28</v>
      </c>
      <c r="N60" s="24" t="s">
        <v>1413</v>
      </c>
      <c r="O60" s="24" t="s">
        <v>3556</v>
      </c>
      <c r="P60" s="27"/>
      <c r="Q60" s="27"/>
      <c r="R60" s="28" t="s">
        <v>3557</v>
      </c>
      <c r="S60" s="8" t="s">
        <v>3555</v>
      </c>
      <c r="T60" s="29" t="s">
        <v>3558</v>
      </c>
      <c r="U60" s="21" t="s">
        <v>32</v>
      </c>
    </row>
    <row r="61" hidden="1">
      <c r="A61" s="30">
        <v>7.290112358752E12</v>
      </c>
      <c r="B61" s="20" t="s">
        <v>5167</v>
      </c>
      <c r="C61" s="21">
        <v>0.05</v>
      </c>
      <c r="D61" s="21">
        <v>0.135</v>
      </c>
      <c r="E61" s="21">
        <v>0.05</v>
      </c>
      <c r="F61" s="22">
        <v>6.0</v>
      </c>
      <c r="G61" s="23"/>
      <c r="H61" s="24" t="s">
        <v>335</v>
      </c>
      <c r="I61" s="21" t="s">
        <v>5168</v>
      </c>
      <c r="J61" s="24" t="s">
        <v>337</v>
      </c>
      <c r="K61" s="21" t="s">
        <v>338</v>
      </c>
      <c r="L61" s="25" t="s">
        <v>339</v>
      </c>
      <c r="M61" s="26" t="s">
        <v>37</v>
      </c>
      <c r="N61" s="24" t="s">
        <v>340</v>
      </c>
      <c r="O61" s="24" t="s">
        <v>341</v>
      </c>
      <c r="P61" s="27"/>
      <c r="Q61" s="27"/>
      <c r="R61" s="31" t="s">
        <v>342</v>
      </c>
      <c r="S61" s="8" t="s">
        <v>343</v>
      </c>
      <c r="T61" s="29" t="e">
        <v>#N/A</v>
      </c>
      <c r="U61" s="24"/>
    </row>
    <row r="62" hidden="1">
      <c r="A62" s="30">
        <v>7.290112347718E12</v>
      </c>
      <c r="B62" s="20" t="s">
        <v>5169</v>
      </c>
      <c r="C62" s="21">
        <v>0.05</v>
      </c>
      <c r="D62" s="21">
        <v>0.135</v>
      </c>
      <c r="E62" s="21">
        <v>0.05</v>
      </c>
      <c r="F62" s="22">
        <v>6.0</v>
      </c>
      <c r="G62" s="23"/>
      <c r="H62" s="24" t="s">
        <v>335</v>
      </c>
      <c r="I62" s="21" t="s">
        <v>5168</v>
      </c>
      <c r="J62" s="24" t="s">
        <v>346</v>
      </c>
      <c r="K62" s="21" t="s">
        <v>347</v>
      </c>
      <c r="L62" s="25" t="s">
        <v>348</v>
      </c>
      <c r="M62" s="26" t="s">
        <v>37</v>
      </c>
      <c r="N62" s="24" t="s">
        <v>340</v>
      </c>
      <c r="O62" s="24" t="s">
        <v>341</v>
      </c>
      <c r="P62" s="27"/>
      <c r="Q62" s="27"/>
      <c r="R62" s="31" t="s">
        <v>349</v>
      </c>
      <c r="S62" s="33" t="s">
        <v>350</v>
      </c>
      <c r="T62" s="29" t="e">
        <v>#N/A</v>
      </c>
      <c r="U62" s="24"/>
    </row>
    <row r="63" hidden="1">
      <c r="A63" s="30">
        <v>7.290112347725E12</v>
      </c>
      <c r="B63" s="20" t="s">
        <v>5170</v>
      </c>
      <c r="C63" s="21">
        <v>0.05</v>
      </c>
      <c r="D63" s="21">
        <v>0.135</v>
      </c>
      <c r="E63" s="21">
        <v>0.05</v>
      </c>
      <c r="F63" s="22">
        <v>6.0</v>
      </c>
      <c r="G63" s="23"/>
      <c r="H63" s="24" t="s">
        <v>335</v>
      </c>
      <c r="I63" s="21" t="s">
        <v>5168</v>
      </c>
      <c r="J63" s="24" t="s">
        <v>353</v>
      </c>
      <c r="K63" s="21" t="s">
        <v>354</v>
      </c>
      <c r="L63" s="25" t="s">
        <v>355</v>
      </c>
      <c r="M63" s="26" t="s">
        <v>37</v>
      </c>
      <c r="N63" s="24" t="s">
        <v>340</v>
      </c>
      <c r="O63" s="24" t="s">
        <v>341</v>
      </c>
      <c r="P63" s="27"/>
      <c r="Q63" s="27"/>
      <c r="R63" s="28" t="s">
        <v>356</v>
      </c>
      <c r="S63" s="33" t="s">
        <v>357</v>
      </c>
      <c r="T63" s="29" t="e">
        <v>#N/A</v>
      </c>
      <c r="U63" s="24"/>
    </row>
    <row r="64" hidden="1">
      <c r="A64" s="30">
        <v>7.290111564956E12</v>
      </c>
      <c r="B64" s="20" t="s">
        <v>369</v>
      </c>
      <c r="C64" s="21">
        <v>0.19</v>
      </c>
      <c r="D64" s="21">
        <v>0.25</v>
      </c>
      <c r="E64" s="21">
        <v>0.07</v>
      </c>
      <c r="F64" s="22">
        <v>4.0</v>
      </c>
      <c r="G64" s="23"/>
      <c r="H64" s="24" t="s">
        <v>370</v>
      </c>
      <c r="I64" s="21" t="s">
        <v>371</v>
      </c>
      <c r="J64" s="24" t="s">
        <v>372</v>
      </c>
      <c r="K64" s="21" t="s">
        <v>5171</v>
      </c>
      <c r="L64" s="25" t="s">
        <v>374</v>
      </c>
      <c r="M64" s="26" t="s">
        <v>28</v>
      </c>
      <c r="N64" s="24" t="s">
        <v>109</v>
      </c>
      <c r="O64" s="24" t="s">
        <v>250</v>
      </c>
      <c r="P64" s="27"/>
      <c r="Q64" s="27"/>
      <c r="R64" s="28" t="s">
        <v>375</v>
      </c>
      <c r="S64" s="8" t="s">
        <v>374</v>
      </c>
      <c r="T64" s="29" t="s">
        <v>371</v>
      </c>
      <c r="U64" s="21" t="s">
        <v>113</v>
      </c>
    </row>
    <row r="65" hidden="1">
      <c r="A65" s="30">
        <v>7.290000066202E12</v>
      </c>
      <c r="B65" s="20" t="s">
        <v>413</v>
      </c>
      <c r="C65" s="21">
        <v>0.14</v>
      </c>
      <c r="D65" s="21">
        <v>0.26</v>
      </c>
      <c r="E65" s="21">
        <v>0.08</v>
      </c>
      <c r="F65" s="22">
        <v>4.0</v>
      </c>
      <c r="G65" s="23"/>
      <c r="H65" s="24" t="s">
        <v>370</v>
      </c>
      <c r="I65" s="21" t="s">
        <v>371</v>
      </c>
      <c r="J65" s="24" t="s">
        <v>414</v>
      </c>
      <c r="K65" s="21" t="s">
        <v>5172</v>
      </c>
      <c r="L65" s="25" t="s">
        <v>416</v>
      </c>
      <c r="M65" s="26" t="s">
        <v>37</v>
      </c>
      <c r="N65" s="24" t="s">
        <v>109</v>
      </c>
      <c r="O65" s="24" t="s">
        <v>380</v>
      </c>
      <c r="P65" s="27"/>
      <c r="Q65" s="27"/>
      <c r="R65" s="28" t="s">
        <v>417</v>
      </c>
      <c r="S65" s="8" t="s">
        <v>418</v>
      </c>
      <c r="T65" s="29" t="e">
        <v>#N/A</v>
      </c>
      <c r="U65" s="21" t="s">
        <v>113</v>
      </c>
    </row>
    <row r="66" hidden="1">
      <c r="A66" s="30">
        <v>7.290000066158E12</v>
      </c>
      <c r="B66" s="20" t="s">
        <v>419</v>
      </c>
      <c r="C66" s="21">
        <v>0.102</v>
      </c>
      <c r="D66" s="21">
        <v>0.175</v>
      </c>
      <c r="E66" s="21">
        <v>0.03</v>
      </c>
      <c r="F66" s="22">
        <v>10.0</v>
      </c>
      <c r="G66" s="23"/>
      <c r="H66" s="24" t="s">
        <v>370</v>
      </c>
      <c r="I66" s="21" t="s">
        <v>371</v>
      </c>
      <c r="J66" s="24" t="s">
        <v>420</v>
      </c>
      <c r="K66" s="21" t="s">
        <v>5173</v>
      </c>
      <c r="L66" s="25" t="s">
        <v>422</v>
      </c>
      <c r="M66" s="26" t="s">
        <v>37</v>
      </c>
      <c r="N66" s="24" t="s">
        <v>109</v>
      </c>
      <c r="O66" s="24" t="s">
        <v>380</v>
      </c>
      <c r="P66" s="27"/>
      <c r="Q66" s="27"/>
      <c r="R66" s="28" t="s">
        <v>423</v>
      </c>
      <c r="S66" s="8" t="s">
        <v>424</v>
      </c>
      <c r="T66" s="29" t="e">
        <v>#N/A</v>
      </c>
      <c r="U66" s="21" t="s">
        <v>113</v>
      </c>
    </row>
    <row r="67" hidden="1">
      <c r="A67" s="30">
        <v>7.290000066219E12</v>
      </c>
      <c r="B67" s="20" t="s">
        <v>376</v>
      </c>
      <c r="C67" s="21">
        <v>0.14</v>
      </c>
      <c r="D67" s="21">
        <v>0.26</v>
      </c>
      <c r="E67" s="21">
        <v>0.08</v>
      </c>
      <c r="F67" s="22">
        <v>4.0</v>
      </c>
      <c r="G67" s="23"/>
      <c r="H67" s="24" t="s">
        <v>370</v>
      </c>
      <c r="I67" s="21" t="s">
        <v>371</v>
      </c>
      <c r="J67" s="24" t="s">
        <v>377</v>
      </c>
      <c r="K67" s="21" t="s">
        <v>5174</v>
      </c>
      <c r="L67" s="25" t="s">
        <v>379</v>
      </c>
      <c r="M67" s="26" t="s">
        <v>37</v>
      </c>
      <c r="N67" s="24" t="s">
        <v>109</v>
      </c>
      <c r="O67" s="24" t="s">
        <v>380</v>
      </c>
      <c r="P67" s="27"/>
      <c r="Q67" s="27"/>
      <c r="R67" s="28" t="s">
        <v>381</v>
      </c>
      <c r="S67" s="8" t="s">
        <v>382</v>
      </c>
      <c r="T67" s="29" t="e">
        <v>#N/A</v>
      </c>
      <c r="U67" s="21" t="s">
        <v>113</v>
      </c>
    </row>
    <row r="68" hidden="1">
      <c r="A68" s="30">
        <v>7.290000066165E12</v>
      </c>
      <c r="B68" s="20" t="s">
        <v>383</v>
      </c>
      <c r="C68" s="21">
        <v>0.102</v>
      </c>
      <c r="D68" s="21">
        <v>0.175</v>
      </c>
      <c r="E68" s="21">
        <v>0.03</v>
      </c>
      <c r="F68" s="22">
        <v>10.0</v>
      </c>
      <c r="G68" s="23"/>
      <c r="H68" s="24" t="s">
        <v>370</v>
      </c>
      <c r="I68" s="21" t="s">
        <v>371</v>
      </c>
      <c r="J68" s="24" t="s">
        <v>384</v>
      </c>
      <c r="K68" s="21" t="s">
        <v>5175</v>
      </c>
      <c r="L68" s="25" t="s">
        <v>386</v>
      </c>
      <c r="M68" s="26" t="s">
        <v>37</v>
      </c>
      <c r="N68" s="24" t="s">
        <v>109</v>
      </c>
      <c r="O68" s="24" t="s">
        <v>380</v>
      </c>
      <c r="P68" s="27"/>
      <c r="Q68" s="27"/>
      <c r="R68" s="28" t="s">
        <v>387</v>
      </c>
      <c r="S68" s="37" t="s">
        <v>388</v>
      </c>
      <c r="T68" s="29" t="e">
        <v>#N/A</v>
      </c>
      <c r="U68" s="21" t="s">
        <v>113</v>
      </c>
    </row>
    <row r="69" hidden="1">
      <c r="A69" s="30">
        <v>7.290000066196E12</v>
      </c>
      <c r="B69" s="20" t="s">
        <v>401</v>
      </c>
      <c r="C69" s="21">
        <v>0.14</v>
      </c>
      <c r="D69" s="21">
        <v>0.26</v>
      </c>
      <c r="E69" s="21">
        <v>0.07</v>
      </c>
      <c r="F69" s="22">
        <v>4.0</v>
      </c>
      <c r="G69" s="23"/>
      <c r="H69" s="24" t="s">
        <v>370</v>
      </c>
      <c r="I69" s="21" t="s">
        <v>371</v>
      </c>
      <c r="J69" s="24" t="s">
        <v>402</v>
      </c>
      <c r="K69" s="21" t="s">
        <v>5176</v>
      </c>
      <c r="L69" s="25" t="s">
        <v>404</v>
      </c>
      <c r="M69" s="26" t="s">
        <v>37</v>
      </c>
      <c r="N69" s="24" t="s">
        <v>109</v>
      </c>
      <c r="O69" s="24" t="s">
        <v>380</v>
      </c>
      <c r="P69" s="27"/>
      <c r="Q69" s="27"/>
      <c r="R69" s="28" t="s">
        <v>405</v>
      </c>
      <c r="S69" s="33" t="s">
        <v>406</v>
      </c>
      <c r="T69" s="29" t="e">
        <v>#N/A</v>
      </c>
      <c r="U69" s="21" t="s">
        <v>113</v>
      </c>
    </row>
    <row r="70" hidden="1">
      <c r="A70" s="30">
        <v>7.290000066141E12</v>
      </c>
      <c r="B70" s="20" t="s">
        <v>407</v>
      </c>
      <c r="C70" s="21">
        <v>0.102</v>
      </c>
      <c r="D70" s="21">
        <v>0.175</v>
      </c>
      <c r="E70" s="21">
        <v>0.03</v>
      </c>
      <c r="F70" s="22">
        <v>10.0</v>
      </c>
      <c r="G70" s="23"/>
      <c r="H70" s="24" t="s">
        <v>370</v>
      </c>
      <c r="I70" s="21" t="s">
        <v>371</v>
      </c>
      <c r="J70" s="24" t="s">
        <v>408</v>
      </c>
      <c r="K70" s="21" t="s">
        <v>5177</v>
      </c>
      <c r="L70" s="25" t="s">
        <v>410</v>
      </c>
      <c r="M70" s="26" t="s">
        <v>37</v>
      </c>
      <c r="N70" s="24" t="s">
        <v>109</v>
      </c>
      <c r="O70" s="24" t="s">
        <v>380</v>
      </c>
      <c r="P70" s="27"/>
      <c r="Q70" s="27"/>
      <c r="R70" s="28" t="s">
        <v>411</v>
      </c>
      <c r="S70" s="8" t="s">
        <v>412</v>
      </c>
      <c r="T70" s="29" t="e">
        <v>#N/A</v>
      </c>
      <c r="U70" s="21" t="s">
        <v>113</v>
      </c>
    </row>
    <row r="71" hidden="1">
      <c r="A71" s="30">
        <v>7.290111568206E12</v>
      </c>
      <c r="B71" s="20" t="s">
        <v>425</v>
      </c>
      <c r="C71" s="21">
        <v>0.128</v>
      </c>
      <c r="D71" s="21">
        <v>0.23</v>
      </c>
      <c r="E71" s="21">
        <v>0.056</v>
      </c>
      <c r="F71" s="22">
        <v>5.0</v>
      </c>
      <c r="G71" s="23"/>
      <c r="H71" s="24" t="s">
        <v>370</v>
      </c>
      <c r="I71" s="21" t="s">
        <v>371</v>
      </c>
      <c r="J71" s="24" t="s">
        <v>426</v>
      </c>
      <c r="K71" s="21" t="s">
        <v>5178</v>
      </c>
      <c r="L71" s="25" t="s">
        <v>428</v>
      </c>
      <c r="M71" s="26" t="s">
        <v>28</v>
      </c>
      <c r="N71" s="24" t="s">
        <v>109</v>
      </c>
      <c r="O71" s="24" t="s">
        <v>380</v>
      </c>
      <c r="P71" s="27"/>
      <c r="Q71" s="27"/>
      <c r="R71" s="28" t="s">
        <v>429</v>
      </c>
      <c r="S71" s="33" t="s">
        <v>428</v>
      </c>
      <c r="T71" s="29" t="s">
        <v>371</v>
      </c>
      <c r="U71" s="21" t="s">
        <v>113</v>
      </c>
    </row>
    <row r="72" hidden="1">
      <c r="A72" s="30">
        <v>7.290000066226E12</v>
      </c>
      <c r="B72" s="20" t="s">
        <v>430</v>
      </c>
      <c r="C72" s="21">
        <v>0.14</v>
      </c>
      <c r="D72" s="21">
        <v>0.26</v>
      </c>
      <c r="E72" s="21">
        <v>0.03</v>
      </c>
      <c r="F72" s="22">
        <v>10.0</v>
      </c>
      <c r="G72" s="23"/>
      <c r="H72" s="24" t="s">
        <v>370</v>
      </c>
      <c r="I72" s="21" t="s">
        <v>371</v>
      </c>
      <c r="J72" s="24" t="s">
        <v>431</v>
      </c>
      <c r="K72" s="21" t="s">
        <v>5179</v>
      </c>
      <c r="L72" s="25" t="s">
        <v>433</v>
      </c>
      <c r="M72" s="26" t="s">
        <v>37</v>
      </c>
      <c r="N72" s="24" t="s">
        <v>109</v>
      </c>
      <c r="O72" s="24" t="s">
        <v>380</v>
      </c>
      <c r="P72" s="27"/>
      <c r="Q72" s="27"/>
      <c r="R72" s="28" t="s">
        <v>434</v>
      </c>
      <c r="S72" s="33" t="s">
        <v>435</v>
      </c>
      <c r="T72" s="29" t="e">
        <v>#N/A</v>
      </c>
      <c r="U72" s="21" t="s">
        <v>113</v>
      </c>
    </row>
    <row r="73" hidden="1">
      <c r="A73" s="30">
        <v>7.290000066172E12</v>
      </c>
      <c r="B73" s="20" t="s">
        <v>436</v>
      </c>
      <c r="C73" s="21">
        <v>0.102</v>
      </c>
      <c r="D73" s="21">
        <v>0.175</v>
      </c>
      <c r="E73" s="21">
        <v>0.03</v>
      </c>
      <c r="F73" s="22">
        <v>10.0</v>
      </c>
      <c r="G73" s="23"/>
      <c r="H73" s="24" t="s">
        <v>370</v>
      </c>
      <c r="I73" s="21" t="s">
        <v>371</v>
      </c>
      <c r="J73" s="24" t="s">
        <v>437</v>
      </c>
      <c r="K73" s="21" t="s">
        <v>5180</v>
      </c>
      <c r="L73" s="25" t="s">
        <v>439</v>
      </c>
      <c r="M73" s="26" t="s">
        <v>37</v>
      </c>
      <c r="N73" s="24" t="s">
        <v>109</v>
      </c>
      <c r="O73" s="24" t="s">
        <v>380</v>
      </c>
      <c r="P73" s="27"/>
      <c r="Q73" s="27"/>
      <c r="R73" s="28" t="s">
        <v>440</v>
      </c>
      <c r="S73" s="33" t="s">
        <v>441</v>
      </c>
      <c r="T73" s="29" t="e">
        <v>#N/A</v>
      </c>
      <c r="U73" s="21" t="s">
        <v>113</v>
      </c>
    </row>
    <row r="74" hidden="1">
      <c r="A74" s="30">
        <v>7.290000066189E12</v>
      </c>
      <c r="B74" s="20" t="s">
        <v>389</v>
      </c>
      <c r="C74" s="21">
        <v>0.14</v>
      </c>
      <c r="D74" s="21">
        <v>0.26</v>
      </c>
      <c r="E74" s="21">
        <v>0.02</v>
      </c>
      <c r="F74" s="22">
        <v>15.0</v>
      </c>
      <c r="G74" s="23"/>
      <c r="H74" s="24" t="s">
        <v>370</v>
      </c>
      <c r="I74" s="21" t="s">
        <v>371</v>
      </c>
      <c r="J74" s="24" t="s">
        <v>390</v>
      </c>
      <c r="K74" s="21" t="s">
        <v>5181</v>
      </c>
      <c r="L74" s="25" t="s">
        <v>392</v>
      </c>
      <c r="M74" s="26" t="s">
        <v>37</v>
      </c>
      <c r="N74" s="24" t="s">
        <v>109</v>
      </c>
      <c r="O74" s="24" t="s">
        <v>380</v>
      </c>
      <c r="P74" s="27"/>
      <c r="Q74" s="27"/>
      <c r="R74" s="28" t="s">
        <v>393</v>
      </c>
      <c r="S74" s="8" t="s">
        <v>394</v>
      </c>
      <c r="T74" s="29" t="e">
        <v>#N/A</v>
      </c>
      <c r="U74" s="21" t="s">
        <v>113</v>
      </c>
    </row>
    <row r="75" hidden="1">
      <c r="A75" s="30">
        <v>7.290000066134E12</v>
      </c>
      <c r="B75" s="20" t="s">
        <v>395</v>
      </c>
      <c r="C75" s="21">
        <v>0.102</v>
      </c>
      <c r="D75" s="21">
        <v>0.175</v>
      </c>
      <c r="E75" s="21">
        <v>0.03</v>
      </c>
      <c r="F75" s="22">
        <v>10.0</v>
      </c>
      <c r="G75" s="23"/>
      <c r="H75" s="24" t="s">
        <v>370</v>
      </c>
      <c r="I75" s="21" t="s">
        <v>371</v>
      </c>
      <c r="J75" s="24" t="s">
        <v>396</v>
      </c>
      <c r="K75" s="21" t="s">
        <v>5182</v>
      </c>
      <c r="L75" s="25" t="s">
        <v>398</v>
      </c>
      <c r="M75" s="26" t="s">
        <v>37</v>
      </c>
      <c r="N75" s="24" t="s">
        <v>109</v>
      </c>
      <c r="O75" s="24" t="s">
        <v>380</v>
      </c>
      <c r="P75" s="27"/>
      <c r="Q75" s="27"/>
      <c r="R75" s="31" t="s">
        <v>399</v>
      </c>
      <c r="S75" s="8" t="s">
        <v>400</v>
      </c>
      <c r="T75" s="29" t="e">
        <v>#N/A</v>
      </c>
      <c r="U75" s="21" t="s">
        <v>113</v>
      </c>
    </row>
    <row r="76" hidden="1">
      <c r="A76" s="30">
        <v>5.904941751524E12</v>
      </c>
      <c r="B76" s="20" t="s">
        <v>476</v>
      </c>
      <c r="C76" s="21">
        <v>0.053</v>
      </c>
      <c r="D76" s="21">
        <v>0.134</v>
      </c>
      <c r="E76" s="21">
        <v>0.053</v>
      </c>
      <c r="F76" s="22">
        <v>6.0</v>
      </c>
      <c r="G76" s="23"/>
      <c r="H76" s="24" t="s">
        <v>443</v>
      </c>
      <c r="I76" s="21" t="s">
        <v>444</v>
      </c>
      <c r="J76" s="24" t="s">
        <v>477</v>
      </c>
      <c r="K76" s="21" t="s">
        <v>478</v>
      </c>
      <c r="L76" s="25" t="s">
        <v>479</v>
      </c>
      <c r="M76" s="26" t="s">
        <v>28</v>
      </c>
      <c r="N76" s="24" t="s">
        <v>340</v>
      </c>
      <c r="O76" s="24" t="s">
        <v>449</v>
      </c>
      <c r="P76" s="27"/>
      <c r="Q76" s="27"/>
      <c r="R76" s="28" t="s">
        <v>480</v>
      </c>
      <c r="S76" s="8" t="s">
        <v>481</v>
      </c>
      <c r="T76" s="29" t="s">
        <v>444</v>
      </c>
      <c r="U76" s="24"/>
    </row>
    <row r="77" hidden="1">
      <c r="A77" s="30">
        <v>5.90494175192E12</v>
      </c>
      <c r="B77" s="20" t="s">
        <v>442</v>
      </c>
      <c r="C77" s="21">
        <v>0.053</v>
      </c>
      <c r="D77" s="21">
        <v>0.134</v>
      </c>
      <c r="E77" s="21">
        <v>0.053</v>
      </c>
      <c r="F77" s="22">
        <v>6.0</v>
      </c>
      <c r="G77" s="23"/>
      <c r="H77" s="24" t="s">
        <v>443</v>
      </c>
      <c r="I77" s="21" t="s">
        <v>444</v>
      </c>
      <c r="J77" s="24" t="s">
        <v>446</v>
      </c>
      <c r="K77" s="21" t="s">
        <v>447</v>
      </c>
      <c r="L77" s="25" t="s">
        <v>448</v>
      </c>
      <c r="M77" s="26" t="s">
        <v>28</v>
      </c>
      <c r="N77" s="24" t="s">
        <v>340</v>
      </c>
      <c r="O77" s="24" t="s">
        <v>449</v>
      </c>
      <c r="P77" s="27"/>
      <c r="Q77" s="27"/>
      <c r="R77" s="31" t="s">
        <v>450</v>
      </c>
      <c r="S77" s="33" t="s">
        <v>451</v>
      </c>
      <c r="T77" s="29" t="s">
        <v>444</v>
      </c>
      <c r="U77" s="24"/>
    </row>
    <row r="78" hidden="1">
      <c r="A78" s="30">
        <v>5.904941750312E12</v>
      </c>
      <c r="B78" s="20" t="s">
        <v>470</v>
      </c>
      <c r="C78" s="21">
        <v>0.053</v>
      </c>
      <c r="D78" s="21">
        <v>0.134</v>
      </c>
      <c r="E78" s="21">
        <v>0.053</v>
      </c>
      <c r="F78" s="22">
        <v>6.0</v>
      </c>
      <c r="G78" s="23"/>
      <c r="H78" s="24" t="s">
        <v>443</v>
      </c>
      <c r="I78" s="21" t="s">
        <v>444</v>
      </c>
      <c r="J78" s="24" t="s">
        <v>471</v>
      </c>
      <c r="K78" s="21" t="s">
        <v>472</v>
      </c>
      <c r="L78" s="25" t="s">
        <v>473</v>
      </c>
      <c r="M78" s="26" t="s">
        <v>28</v>
      </c>
      <c r="N78" s="24" t="s">
        <v>340</v>
      </c>
      <c r="O78" s="24" t="s">
        <v>449</v>
      </c>
      <c r="P78" s="27"/>
      <c r="Q78" s="27"/>
      <c r="R78" s="28" t="s">
        <v>474</v>
      </c>
      <c r="S78" s="33" t="s">
        <v>475</v>
      </c>
      <c r="T78" s="29" t="s">
        <v>444</v>
      </c>
      <c r="U78" s="24"/>
    </row>
    <row r="79" hidden="1">
      <c r="A79" s="30">
        <v>5.904941751302E12</v>
      </c>
      <c r="B79" s="20" t="s">
        <v>458</v>
      </c>
      <c r="C79" s="21">
        <v>0.053</v>
      </c>
      <c r="D79" s="21">
        <v>0.134</v>
      </c>
      <c r="E79" s="21">
        <v>0.053</v>
      </c>
      <c r="F79" s="22">
        <v>6.0</v>
      </c>
      <c r="G79" s="23"/>
      <c r="H79" s="24" t="s">
        <v>443</v>
      </c>
      <c r="I79" s="21" t="s">
        <v>444</v>
      </c>
      <c r="J79" s="24" t="s">
        <v>459</v>
      </c>
      <c r="K79" s="21" t="s">
        <v>460</v>
      </c>
      <c r="L79" s="25" t="s">
        <v>461</v>
      </c>
      <c r="M79" s="26" t="s">
        <v>28</v>
      </c>
      <c r="N79" s="24" t="s">
        <v>340</v>
      </c>
      <c r="O79" s="24" t="s">
        <v>449</v>
      </c>
      <c r="P79" s="27"/>
      <c r="Q79" s="27"/>
      <c r="R79" s="28" t="s">
        <v>462</v>
      </c>
      <c r="S79" s="8" t="s">
        <v>463</v>
      </c>
      <c r="T79" s="29" t="s">
        <v>444</v>
      </c>
      <c r="U79" s="24"/>
    </row>
    <row r="80" hidden="1">
      <c r="A80" s="30">
        <v>7.53182231761E11</v>
      </c>
      <c r="B80" s="20" t="s">
        <v>489</v>
      </c>
      <c r="C80" s="21">
        <v>0.053</v>
      </c>
      <c r="D80" s="21">
        <v>0.134</v>
      </c>
      <c r="E80" s="21">
        <v>0.053</v>
      </c>
      <c r="F80" s="22">
        <v>6.0</v>
      </c>
      <c r="G80" s="23"/>
      <c r="H80" s="24" t="s">
        <v>443</v>
      </c>
      <c r="I80" s="21" t="s">
        <v>444</v>
      </c>
      <c r="J80" s="24" t="s">
        <v>490</v>
      </c>
      <c r="K80" s="21" t="s">
        <v>491</v>
      </c>
      <c r="L80" s="25" t="s">
        <v>492</v>
      </c>
      <c r="M80" s="26" t="s">
        <v>28</v>
      </c>
      <c r="N80" s="24" t="s">
        <v>340</v>
      </c>
      <c r="O80" s="24" t="s">
        <v>449</v>
      </c>
      <c r="P80" s="27"/>
      <c r="Q80" s="27"/>
      <c r="R80" s="28" t="s">
        <v>493</v>
      </c>
      <c r="S80" s="33" t="s">
        <v>494</v>
      </c>
      <c r="T80" s="29" t="s">
        <v>444</v>
      </c>
      <c r="U80" s="24"/>
    </row>
    <row r="81" hidden="1">
      <c r="A81" s="30">
        <v>5.904941752262E12</v>
      </c>
      <c r="B81" s="20" t="s">
        <v>464</v>
      </c>
      <c r="C81" s="21">
        <v>0.053</v>
      </c>
      <c r="D81" s="21">
        <v>0.134</v>
      </c>
      <c r="E81" s="21">
        <v>0.053</v>
      </c>
      <c r="F81" s="22">
        <v>6.0</v>
      </c>
      <c r="G81" s="23"/>
      <c r="H81" s="24" t="s">
        <v>443</v>
      </c>
      <c r="I81" s="21" t="s">
        <v>444</v>
      </c>
      <c r="J81" s="24" t="s">
        <v>465</v>
      </c>
      <c r="K81" s="21" t="s">
        <v>466</v>
      </c>
      <c r="L81" s="25" t="s">
        <v>467</v>
      </c>
      <c r="M81" s="26" t="s">
        <v>28</v>
      </c>
      <c r="N81" s="24" t="s">
        <v>340</v>
      </c>
      <c r="O81" s="24" t="s">
        <v>449</v>
      </c>
      <c r="P81" s="27"/>
      <c r="Q81" s="27"/>
      <c r="R81" s="28" t="s">
        <v>468</v>
      </c>
      <c r="S81" s="8" t="s">
        <v>469</v>
      </c>
      <c r="T81" s="29" t="s">
        <v>444</v>
      </c>
      <c r="U81" s="24"/>
    </row>
    <row r="82" hidden="1">
      <c r="A82" s="30">
        <v>5.904941751241E12</v>
      </c>
      <c r="B82" s="20" t="s">
        <v>452</v>
      </c>
      <c r="C82" s="21">
        <v>0.053</v>
      </c>
      <c r="D82" s="21">
        <v>0.134</v>
      </c>
      <c r="E82" s="21">
        <v>0.053</v>
      </c>
      <c r="F82" s="22">
        <v>6.0</v>
      </c>
      <c r="G82" s="23"/>
      <c r="H82" s="24" t="s">
        <v>443</v>
      </c>
      <c r="I82" s="21" t="s">
        <v>444</v>
      </c>
      <c r="J82" s="24" t="s">
        <v>453</v>
      </c>
      <c r="K82" s="21" t="s">
        <v>454</v>
      </c>
      <c r="L82" s="25" t="s">
        <v>455</v>
      </c>
      <c r="M82" s="26" t="s">
        <v>28</v>
      </c>
      <c r="N82" s="24" t="s">
        <v>340</v>
      </c>
      <c r="O82" s="24" t="s">
        <v>449</v>
      </c>
      <c r="P82" s="27"/>
      <c r="Q82" s="27"/>
      <c r="R82" s="31" t="s">
        <v>456</v>
      </c>
      <c r="S82" s="33" t="s">
        <v>457</v>
      </c>
      <c r="T82" s="29" t="s">
        <v>444</v>
      </c>
      <c r="U82" s="24"/>
    </row>
    <row r="83" hidden="1">
      <c r="A83" s="30">
        <v>5.060639128051E12</v>
      </c>
      <c r="B83" s="20" t="s">
        <v>482</v>
      </c>
      <c r="C83" s="21">
        <v>0.066</v>
      </c>
      <c r="D83" s="21">
        <v>0.168</v>
      </c>
      <c r="E83" s="21">
        <v>0.066</v>
      </c>
      <c r="F83" s="22">
        <v>5.0</v>
      </c>
      <c r="G83" s="23"/>
      <c r="H83" s="24" t="s">
        <v>443</v>
      </c>
      <c r="I83" s="21" t="s">
        <v>444</v>
      </c>
      <c r="J83" s="24" t="s">
        <v>483</v>
      </c>
      <c r="K83" s="21" t="s">
        <v>484</v>
      </c>
      <c r="L83" s="25" t="s">
        <v>485</v>
      </c>
      <c r="M83" s="26" t="s">
        <v>28</v>
      </c>
      <c r="N83" s="24" t="s">
        <v>340</v>
      </c>
      <c r="O83" s="24" t="s">
        <v>449</v>
      </c>
      <c r="P83" s="27"/>
      <c r="Q83" s="27"/>
      <c r="R83" s="31" t="s">
        <v>486</v>
      </c>
      <c r="S83" s="33" t="s">
        <v>487</v>
      </c>
      <c r="T83" s="29" t="s">
        <v>488</v>
      </c>
      <c r="U83" s="24"/>
    </row>
    <row r="84" hidden="1">
      <c r="A84" s="30">
        <v>7.290000066318E12</v>
      </c>
      <c r="B84" s="20" t="s">
        <v>244</v>
      </c>
      <c r="C84" s="21">
        <v>0.128</v>
      </c>
      <c r="D84" s="21">
        <v>0.23</v>
      </c>
      <c r="E84" s="21">
        <v>0.056</v>
      </c>
      <c r="F84" s="22">
        <v>5.0</v>
      </c>
      <c r="G84" s="23"/>
      <c r="H84" s="24" t="s">
        <v>245</v>
      </c>
      <c r="I84" s="21" t="s">
        <v>246</v>
      </c>
      <c r="J84" s="24" t="s">
        <v>247</v>
      </c>
      <c r="K84" s="21" t="s">
        <v>248</v>
      </c>
      <c r="L84" s="25" t="s">
        <v>249</v>
      </c>
      <c r="M84" s="26" t="s">
        <v>37</v>
      </c>
      <c r="N84" s="24" t="s">
        <v>109</v>
      </c>
      <c r="O84" s="24" t="s">
        <v>250</v>
      </c>
      <c r="P84" s="27"/>
      <c r="Q84" s="27"/>
      <c r="R84" s="28" t="s">
        <v>251</v>
      </c>
      <c r="S84" s="8" t="s">
        <v>252</v>
      </c>
      <c r="T84" s="29" t="e">
        <v>#N/A</v>
      </c>
      <c r="U84" s="21" t="s">
        <v>113</v>
      </c>
    </row>
    <row r="85" hidden="1">
      <c r="A85" s="30">
        <v>7.29000006877E12</v>
      </c>
      <c r="B85" s="20" t="s">
        <v>253</v>
      </c>
      <c r="C85" s="21">
        <v>0.128</v>
      </c>
      <c r="D85" s="21">
        <v>0.23</v>
      </c>
      <c r="E85" s="21">
        <v>0.056</v>
      </c>
      <c r="F85" s="22">
        <v>5.0</v>
      </c>
      <c r="G85" s="23"/>
      <c r="H85" s="24" t="s">
        <v>245</v>
      </c>
      <c r="I85" s="21" t="s">
        <v>246</v>
      </c>
      <c r="J85" s="24" t="s">
        <v>254</v>
      </c>
      <c r="K85" s="21" t="s">
        <v>255</v>
      </c>
      <c r="L85" s="25" t="s">
        <v>256</v>
      </c>
      <c r="M85" s="26" t="s">
        <v>37</v>
      </c>
      <c r="N85" s="24" t="s">
        <v>109</v>
      </c>
      <c r="O85" s="24" t="s">
        <v>250</v>
      </c>
      <c r="P85" s="27"/>
      <c r="Q85" s="27"/>
      <c r="R85" s="28" t="s">
        <v>257</v>
      </c>
      <c r="S85" s="8" t="s">
        <v>258</v>
      </c>
      <c r="T85" s="29" t="e">
        <v>#N/A</v>
      </c>
      <c r="U85" s="21" t="s">
        <v>113</v>
      </c>
    </row>
    <row r="86" hidden="1">
      <c r="A86" s="30">
        <v>7.290111565656E12</v>
      </c>
      <c r="B86" s="20" t="s">
        <v>259</v>
      </c>
      <c r="C86" s="21">
        <v>0.128</v>
      </c>
      <c r="D86" s="21">
        <v>0.23</v>
      </c>
      <c r="E86" s="21">
        <v>0.056</v>
      </c>
      <c r="F86" s="22">
        <v>5.0</v>
      </c>
      <c r="G86" s="23"/>
      <c r="H86" s="24" t="s">
        <v>245</v>
      </c>
      <c r="I86" s="21" t="s">
        <v>246</v>
      </c>
      <c r="J86" s="24" t="s">
        <v>260</v>
      </c>
      <c r="K86" s="21" t="s">
        <v>261</v>
      </c>
      <c r="L86" s="25" t="s">
        <v>262</v>
      </c>
      <c r="M86" s="26" t="s">
        <v>28</v>
      </c>
      <c r="N86" s="24" t="s">
        <v>109</v>
      </c>
      <c r="O86" s="24" t="s">
        <v>250</v>
      </c>
      <c r="P86" s="27"/>
      <c r="Q86" s="27"/>
      <c r="R86" s="28" t="s">
        <v>263</v>
      </c>
      <c r="S86" s="8" t="s">
        <v>262</v>
      </c>
      <c r="T86" s="29" t="s">
        <v>246</v>
      </c>
      <c r="U86" s="21" t="s">
        <v>113</v>
      </c>
    </row>
    <row r="87" hidden="1">
      <c r="A87" s="30">
        <v>7.290112966582E12</v>
      </c>
      <c r="B87" s="20" t="s">
        <v>264</v>
      </c>
      <c r="C87" s="21">
        <v>0.14</v>
      </c>
      <c r="D87" s="21">
        <v>0.175</v>
      </c>
      <c r="E87" s="21">
        <v>0.036</v>
      </c>
      <c r="F87" s="22">
        <v>8.0</v>
      </c>
      <c r="G87" s="23"/>
      <c r="H87" s="24" t="s">
        <v>245</v>
      </c>
      <c r="I87" s="21" t="s">
        <v>246</v>
      </c>
      <c r="J87" s="24" t="s">
        <v>265</v>
      </c>
      <c r="K87" s="21" t="s">
        <v>266</v>
      </c>
      <c r="L87" s="25" t="s">
        <v>267</v>
      </c>
      <c r="M87" s="26" t="s">
        <v>28</v>
      </c>
      <c r="N87" s="24" t="s">
        <v>109</v>
      </c>
      <c r="O87" s="24" t="s">
        <v>250</v>
      </c>
      <c r="P87" s="27"/>
      <c r="Q87" s="27"/>
      <c r="R87" s="28" t="s">
        <v>268</v>
      </c>
      <c r="S87" s="8" t="s">
        <v>267</v>
      </c>
      <c r="T87" s="29" t="s">
        <v>246</v>
      </c>
      <c r="U87" s="21" t="s">
        <v>113</v>
      </c>
    </row>
    <row r="88" hidden="1">
      <c r="A88" s="30">
        <v>7.290104508943E12</v>
      </c>
      <c r="B88" s="20" t="s">
        <v>269</v>
      </c>
      <c r="C88" s="21">
        <v>0.19</v>
      </c>
      <c r="D88" s="21">
        <v>0.25</v>
      </c>
      <c r="E88" s="21">
        <v>0.07</v>
      </c>
      <c r="F88" s="22">
        <v>4.0</v>
      </c>
      <c r="G88" s="23"/>
      <c r="H88" s="24" t="s">
        <v>245</v>
      </c>
      <c r="I88" s="21" t="s">
        <v>246</v>
      </c>
      <c r="J88" s="24" t="s">
        <v>270</v>
      </c>
      <c r="K88" s="21" t="s">
        <v>271</v>
      </c>
      <c r="L88" s="25" t="s">
        <v>272</v>
      </c>
      <c r="M88" s="26" t="s">
        <v>28</v>
      </c>
      <c r="N88" s="24" t="s">
        <v>109</v>
      </c>
      <c r="O88" s="24" t="s">
        <v>250</v>
      </c>
      <c r="P88" s="27"/>
      <c r="Q88" s="27"/>
      <c r="R88" s="31" t="s">
        <v>273</v>
      </c>
      <c r="S88" s="33" t="s">
        <v>272</v>
      </c>
      <c r="T88" s="29" t="s">
        <v>246</v>
      </c>
      <c r="U88" s="21" t="s">
        <v>113</v>
      </c>
    </row>
    <row r="89" hidden="1">
      <c r="A89" s="30">
        <v>7.290112334879E12</v>
      </c>
      <c r="B89" s="20" t="s">
        <v>190</v>
      </c>
      <c r="C89" s="21">
        <v>0.08</v>
      </c>
      <c r="D89" s="21">
        <v>0.112</v>
      </c>
      <c r="E89" s="21">
        <v>0.03</v>
      </c>
      <c r="F89" s="22">
        <v>10.0</v>
      </c>
      <c r="G89" s="23"/>
      <c r="H89" s="24" t="s">
        <v>191</v>
      </c>
      <c r="I89" s="21" t="s">
        <v>189</v>
      </c>
      <c r="J89" s="24" t="s">
        <v>192</v>
      </c>
      <c r="K89" s="21" t="s">
        <v>193</v>
      </c>
      <c r="L89" s="25" t="s">
        <v>194</v>
      </c>
      <c r="M89" s="26" t="s">
        <v>28</v>
      </c>
      <c r="N89" s="24" t="s">
        <v>185</v>
      </c>
      <c r="O89" s="24" t="s">
        <v>195</v>
      </c>
      <c r="P89" s="27"/>
      <c r="Q89" s="27"/>
      <c r="R89" s="28" t="s">
        <v>196</v>
      </c>
      <c r="S89" s="8" t="s">
        <v>197</v>
      </c>
      <c r="T89" s="29" t="s">
        <v>198</v>
      </c>
      <c r="U89" s="24"/>
    </row>
    <row r="90" hidden="1">
      <c r="A90" s="30">
        <v>4.2061939E7</v>
      </c>
      <c r="B90" s="20" t="s">
        <v>358</v>
      </c>
      <c r="C90" s="21">
        <v>0.06</v>
      </c>
      <c r="D90" s="21">
        <v>0.22</v>
      </c>
      <c r="E90" s="21">
        <v>0.06</v>
      </c>
      <c r="F90" s="22">
        <v>5.0</v>
      </c>
      <c r="G90" s="23"/>
      <c r="H90" s="24" t="s">
        <v>359</v>
      </c>
      <c r="I90" s="21" t="s">
        <v>360</v>
      </c>
      <c r="J90" s="24" t="s">
        <v>362</v>
      </c>
      <c r="K90" s="21" t="s">
        <v>363</v>
      </c>
      <c r="L90" s="25" t="s">
        <v>364</v>
      </c>
      <c r="M90" s="26" t="s">
        <v>28</v>
      </c>
      <c r="N90" s="24" t="s">
        <v>365</v>
      </c>
      <c r="O90" s="24" t="s">
        <v>366</v>
      </c>
      <c r="P90" s="27"/>
      <c r="Q90" s="27"/>
      <c r="R90" s="28" t="s">
        <v>367</v>
      </c>
      <c r="S90" s="8" t="s">
        <v>368</v>
      </c>
      <c r="T90" s="29" t="s">
        <v>360</v>
      </c>
      <c r="U90" s="24"/>
    </row>
    <row r="91" hidden="1">
      <c r="A91" s="30">
        <v>7.290006855039E12</v>
      </c>
      <c r="B91" s="20" t="s">
        <v>274</v>
      </c>
      <c r="C91" s="21">
        <v>0.125</v>
      </c>
      <c r="D91" s="21">
        <v>0.03</v>
      </c>
      <c r="E91" s="21">
        <v>0.01</v>
      </c>
      <c r="F91" s="22">
        <v>30.0</v>
      </c>
      <c r="G91" s="23"/>
      <c r="H91" s="24" t="s">
        <v>275</v>
      </c>
      <c r="I91" s="21" t="s">
        <v>276</v>
      </c>
      <c r="J91" s="24" t="s">
        <v>277</v>
      </c>
      <c r="K91" s="21" t="s">
        <v>278</v>
      </c>
      <c r="L91" s="25" t="s">
        <v>279</v>
      </c>
      <c r="M91" s="26" t="s">
        <v>37</v>
      </c>
      <c r="N91" s="24" t="s">
        <v>280</v>
      </c>
      <c r="O91" s="24" t="s">
        <v>281</v>
      </c>
      <c r="P91" s="27"/>
      <c r="Q91" s="27"/>
      <c r="R91" s="28" t="s">
        <v>282</v>
      </c>
      <c r="S91" s="8" t="s">
        <v>283</v>
      </c>
      <c r="T91" s="29" t="e">
        <v>#N/A</v>
      </c>
      <c r="U91" s="24"/>
    </row>
    <row r="92" hidden="1">
      <c r="A92" s="30">
        <v>7.290006855046E12</v>
      </c>
      <c r="B92" s="20" t="s">
        <v>291</v>
      </c>
      <c r="C92" s="21">
        <v>0.125</v>
      </c>
      <c r="D92" s="21">
        <v>0.03</v>
      </c>
      <c r="E92" s="21">
        <v>0.01</v>
      </c>
      <c r="F92" s="22">
        <v>30.0</v>
      </c>
      <c r="G92" s="23"/>
      <c r="H92" s="24" t="s">
        <v>275</v>
      </c>
      <c r="I92" s="21" t="s">
        <v>276</v>
      </c>
      <c r="J92" s="24" t="s">
        <v>292</v>
      </c>
      <c r="K92" s="21" t="s">
        <v>293</v>
      </c>
      <c r="L92" s="25" t="s">
        <v>294</v>
      </c>
      <c r="M92" s="26" t="s">
        <v>37</v>
      </c>
      <c r="N92" s="24" t="s">
        <v>280</v>
      </c>
      <c r="O92" s="24" t="s">
        <v>281</v>
      </c>
      <c r="P92" s="27"/>
      <c r="Q92" s="27"/>
      <c r="R92" s="28" t="s">
        <v>295</v>
      </c>
      <c r="S92" s="8" t="s">
        <v>296</v>
      </c>
      <c r="T92" s="29" t="e">
        <v>#N/A</v>
      </c>
      <c r="U92" s="24"/>
    </row>
    <row r="93" hidden="1">
      <c r="A93" s="30">
        <v>7.290006855008E12</v>
      </c>
      <c r="B93" s="20" t="s">
        <v>297</v>
      </c>
      <c r="C93" s="21">
        <v>0.125</v>
      </c>
      <c r="D93" s="21">
        <v>0.03</v>
      </c>
      <c r="E93" s="21">
        <v>0.01</v>
      </c>
      <c r="F93" s="22">
        <v>30.0</v>
      </c>
      <c r="G93" s="23"/>
      <c r="H93" s="24" t="s">
        <v>275</v>
      </c>
      <c r="I93" s="21" t="s">
        <v>276</v>
      </c>
      <c r="J93" s="24" t="s">
        <v>298</v>
      </c>
      <c r="K93" s="21" t="s">
        <v>299</v>
      </c>
      <c r="L93" s="25" t="s">
        <v>300</v>
      </c>
      <c r="M93" s="26" t="s">
        <v>37</v>
      </c>
      <c r="N93" s="24" t="s">
        <v>280</v>
      </c>
      <c r="O93" s="24" t="s">
        <v>281</v>
      </c>
      <c r="P93" s="27"/>
      <c r="Q93" s="27"/>
      <c r="R93" s="28" t="s">
        <v>301</v>
      </c>
      <c r="S93" s="8" t="s">
        <v>302</v>
      </c>
      <c r="T93" s="29" t="e">
        <v>#N/A</v>
      </c>
      <c r="U93" s="24"/>
    </row>
    <row r="94" hidden="1">
      <c r="A94" s="30">
        <v>7.290006855015E12</v>
      </c>
      <c r="B94" s="20" t="s">
        <v>285</v>
      </c>
      <c r="C94" s="21">
        <v>0.125</v>
      </c>
      <c r="D94" s="21">
        <v>0.03</v>
      </c>
      <c r="E94" s="21">
        <v>0.01</v>
      </c>
      <c r="F94" s="22">
        <v>30.0</v>
      </c>
      <c r="G94" s="23"/>
      <c r="H94" s="24" t="s">
        <v>275</v>
      </c>
      <c r="I94" s="21" t="s">
        <v>276</v>
      </c>
      <c r="J94" s="24" t="s">
        <v>286</v>
      </c>
      <c r="K94" s="21" t="s">
        <v>287</v>
      </c>
      <c r="L94" s="25" t="s">
        <v>288</v>
      </c>
      <c r="M94" s="26" t="s">
        <v>37</v>
      </c>
      <c r="N94" s="24" t="s">
        <v>280</v>
      </c>
      <c r="O94" s="24" t="s">
        <v>281</v>
      </c>
      <c r="P94" s="27"/>
      <c r="Q94" s="27"/>
      <c r="R94" s="28" t="s">
        <v>289</v>
      </c>
      <c r="S94" s="8" t="s">
        <v>290</v>
      </c>
      <c r="T94" s="29" t="e">
        <v>#N/A</v>
      </c>
      <c r="U94" s="24"/>
    </row>
    <row r="95" hidden="1">
      <c r="A95" s="30">
        <v>7.610113011652E12</v>
      </c>
      <c r="B95" s="20" t="s">
        <v>505</v>
      </c>
      <c r="C95" s="21">
        <v>0.05</v>
      </c>
      <c r="D95" s="21">
        <v>0.215</v>
      </c>
      <c r="E95" s="21">
        <v>0.05</v>
      </c>
      <c r="F95" s="22">
        <v>6.0</v>
      </c>
      <c r="G95" s="23"/>
      <c r="H95" s="24" t="s">
        <v>506</v>
      </c>
      <c r="I95" s="21" t="s">
        <v>507</v>
      </c>
      <c r="J95" s="24" t="s">
        <v>509</v>
      </c>
      <c r="K95" s="21" t="s">
        <v>510</v>
      </c>
      <c r="L95" s="25" t="s">
        <v>511</v>
      </c>
      <c r="M95" s="26" t="s">
        <v>28</v>
      </c>
      <c r="N95" s="24" t="s">
        <v>512</v>
      </c>
      <c r="O95" s="24" t="s">
        <v>513</v>
      </c>
      <c r="P95" s="27"/>
      <c r="Q95" s="27"/>
      <c r="R95" s="31" t="s">
        <v>514</v>
      </c>
      <c r="S95" s="8" t="s">
        <v>515</v>
      </c>
      <c r="T95" s="29" t="s">
        <v>516</v>
      </c>
      <c r="U95" s="24"/>
    </row>
    <row r="96" hidden="1">
      <c r="A96" s="30">
        <v>5.010677554398E12</v>
      </c>
      <c r="B96" s="20" t="s">
        <v>523</v>
      </c>
      <c r="C96" s="21">
        <v>0.058</v>
      </c>
      <c r="D96" s="21">
        <v>0.212</v>
      </c>
      <c r="E96" s="21">
        <v>0.058</v>
      </c>
      <c r="F96" s="22">
        <v>5.0</v>
      </c>
      <c r="G96" s="23"/>
      <c r="H96" s="24" t="s">
        <v>506</v>
      </c>
      <c r="I96" s="21" t="s">
        <v>507</v>
      </c>
      <c r="J96" s="24" t="s">
        <v>524</v>
      </c>
      <c r="K96" s="21" t="s">
        <v>525</v>
      </c>
      <c r="L96" s="25" t="s">
        <v>526</v>
      </c>
      <c r="M96" s="26" t="s">
        <v>28</v>
      </c>
      <c r="N96" s="24" t="s">
        <v>512</v>
      </c>
      <c r="O96" s="24" t="s">
        <v>513</v>
      </c>
      <c r="P96" s="27"/>
      <c r="Q96" s="27"/>
      <c r="R96" s="31" t="s">
        <v>527</v>
      </c>
      <c r="S96" s="8" t="s">
        <v>528</v>
      </c>
      <c r="T96" s="29" t="s">
        <v>516</v>
      </c>
      <c r="U96" s="24"/>
    </row>
    <row r="97" hidden="1">
      <c r="A97" s="30">
        <v>5.010677552387E12</v>
      </c>
      <c r="B97" s="20" t="s">
        <v>517</v>
      </c>
      <c r="C97" s="21">
        <v>0.058</v>
      </c>
      <c r="D97" s="21">
        <v>0.212</v>
      </c>
      <c r="E97" s="21">
        <v>0.058</v>
      </c>
      <c r="F97" s="22">
        <v>5.0</v>
      </c>
      <c r="G97" s="23"/>
      <c r="H97" s="24" t="s">
        <v>506</v>
      </c>
      <c r="I97" s="21" t="s">
        <v>507</v>
      </c>
      <c r="J97" s="24" t="s">
        <v>518</v>
      </c>
      <c r="K97" s="21" t="s">
        <v>519</v>
      </c>
      <c r="L97" s="25" t="s">
        <v>520</v>
      </c>
      <c r="M97" s="26" t="s">
        <v>28</v>
      </c>
      <c r="N97" s="24" t="s">
        <v>512</v>
      </c>
      <c r="O97" s="24" t="s">
        <v>513</v>
      </c>
      <c r="P97" s="27"/>
      <c r="Q97" s="27"/>
      <c r="R97" s="31" t="s">
        <v>521</v>
      </c>
      <c r="S97" s="8" t="s">
        <v>522</v>
      </c>
      <c r="T97" s="29" t="s">
        <v>516</v>
      </c>
      <c r="U97" s="24"/>
    </row>
    <row r="98" hidden="1">
      <c r="A98" s="30">
        <v>7.290008464963E12</v>
      </c>
      <c r="B98" s="20" t="s">
        <v>2007</v>
      </c>
      <c r="C98" s="21">
        <v>0.06</v>
      </c>
      <c r="D98" s="21">
        <v>0.193</v>
      </c>
      <c r="E98" s="21">
        <v>0.06</v>
      </c>
      <c r="F98" s="22">
        <v>5.0</v>
      </c>
      <c r="G98" s="23"/>
      <c r="H98" s="24" t="s">
        <v>2008</v>
      </c>
      <c r="I98" s="21" t="s">
        <v>2009</v>
      </c>
      <c r="J98" s="24" t="s">
        <v>2010</v>
      </c>
      <c r="K98" s="21" t="s">
        <v>2011</v>
      </c>
      <c r="L98" s="25" t="s">
        <v>2012</v>
      </c>
      <c r="M98" s="26" t="s">
        <v>37</v>
      </c>
      <c r="N98" s="24" t="s">
        <v>1555</v>
      </c>
      <c r="O98" s="24" t="s">
        <v>1556</v>
      </c>
      <c r="P98" s="27"/>
      <c r="Q98" s="27"/>
      <c r="R98" s="28" t="s">
        <v>2013</v>
      </c>
      <c r="S98" s="8" t="s">
        <v>2014</v>
      </c>
      <c r="T98" s="29" t="e">
        <v>#N/A</v>
      </c>
      <c r="U98" s="24"/>
    </row>
    <row r="99" hidden="1">
      <c r="A99" s="30">
        <v>7.290008464895E12</v>
      </c>
      <c r="B99" s="20" t="s">
        <v>2015</v>
      </c>
      <c r="C99" s="21">
        <v>0.06</v>
      </c>
      <c r="D99" s="21">
        <v>0.193</v>
      </c>
      <c r="E99" s="21">
        <v>0.06</v>
      </c>
      <c r="F99" s="22">
        <v>5.0</v>
      </c>
      <c r="G99" s="23"/>
      <c r="H99" s="24" t="s">
        <v>2008</v>
      </c>
      <c r="I99" s="21" t="s">
        <v>2009</v>
      </c>
      <c r="J99" s="24" t="s">
        <v>2016</v>
      </c>
      <c r="K99" s="21" t="s">
        <v>2017</v>
      </c>
      <c r="L99" s="25" t="s">
        <v>2018</v>
      </c>
      <c r="M99" s="26" t="s">
        <v>37</v>
      </c>
      <c r="N99" s="24" t="s">
        <v>1555</v>
      </c>
      <c r="O99" s="24" t="s">
        <v>1556</v>
      </c>
      <c r="P99" s="27"/>
      <c r="Q99" s="27"/>
      <c r="R99" s="28" t="s">
        <v>2019</v>
      </c>
      <c r="S99" s="8" t="s">
        <v>2020</v>
      </c>
      <c r="T99" s="29" t="e">
        <v>#N/A</v>
      </c>
      <c r="U99" s="24"/>
    </row>
    <row r="100" hidden="1">
      <c r="A100" s="30">
        <v>7.501013101393E12</v>
      </c>
      <c r="B100" s="20" t="s">
        <v>1981</v>
      </c>
      <c r="C100" s="21">
        <v>0.068</v>
      </c>
      <c r="D100" s="21">
        <v>0.175</v>
      </c>
      <c r="E100" s="21">
        <v>0.068</v>
      </c>
      <c r="F100" s="22">
        <v>4.0</v>
      </c>
      <c r="G100" s="23"/>
      <c r="H100" s="24" t="s">
        <v>1950</v>
      </c>
      <c r="I100" s="21" t="s">
        <v>1951</v>
      </c>
      <c r="J100" s="24" t="s">
        <v>1982</v>
      </c>
      <c r="K100" s="21" t="s">
        <v>1983</v>
      </c>
      <c r="L100" s="25" t="s">
        <v>1984</v>
      </c>
      <c r="M100" s="26" t="s">
        <v>28</v>
      </c>
      <c r="N100" s="24" t="s">
        <v>1555</v>
      </c>
      <c r="O100" s="24" t="s">
        <v>1556</v>
      </c>
      <c r="P100" s="27"/>
      <c r="Q100" s="27"/>
      <c r="R100" s="28" t="s">
        <v>1985</v>
      </c>
      <c r="S100" s="8" t="s">
        <v>1986</v>
      </c>
      <c r="T100" s="29" t="s">
        <v>1951</v>
      </c>
      <c r="U100" s="24"/>
    </row>
    <row r="101" hidden="1">
      <c r="A101" s="30">
        <v>7.501013101355E12</v>
      </c>
      <c r="B101" s="20" t="s">
        <v>1949</v>
      </c>
      <c r="C101" s="21">
        <v>0.068</v>
      </c>
      <c r="D101" s="21">
        <v>0.175</v>
      </c>
      <c r="E101" s="21">
        <v>0.068</v>
      </c>
      <c r="F101" s="22">
        <v>4.0</v>
      </c>
      <c r="G101" s="23"/>
      <c r="H101" s="24" t="s">
        <v>1950</v>
      </c>
      <c r="I101" s="21" t="s">
        <v>1951</v>
      </c>
      <c r="J101" s="24" t="s">
        <v>1952</v>
      </c>
      <c r="K101" s="21" t="s">
        <v>1953</v>
      </c>
      <c r="L101" s="25" t="s">
        <v>1954</v>
      </c>
      <c r="M101" s="26" t="s">
        <v>28</v>
      </c>
      <c r="N101" s="24" t="s">
        <v>1555</v>
      </c>
      <c r="O101" s="24" t="s">
        <v>1556</v>
      </c>
      <c r="P101" s="27"/>
      <c r="Q101" s="27"/>
      <c r="R101" s="31" t="s">
        <v>1955</v>
      </c>
      <c r="S101" s="8" t="s">
        <v>1956</v>
      </c>
      <c r="T101" s="29" t="s">
        <v>1951</v>
      </c>
      <c r="U101" s="24"/>
    </row>
    <row r="102" hidden="1">
      <c r="A102" s="30">
        <v>7.501013101348E12</v>
      </c>
      <c r="B102" s="20" t="s">
        <v>1975</v>
      </c>
      <c r="C102" s="21">
        <v>0.068</v>
      </c>
      <c r="D102" s="21">
        <v>0.175</v>
      </c>
      <c r="E102" s="21">
        <v>0.068</v>
      </c>
      <c r="F102" s="22">
        <v>4.0</v>
      </c>
      <c r="G102" s="23"/>
      <c r="H102" s="24" t="s">
        <v>1950</v>
      </c>
      <c r="I102" s="21" t="s">
        <v>1951</v>
      </c>
      <c r="J102" s="24" t="s">
        <v>1976</v>
      </c>
      <c r="K102" s="21" t="s">
        <v>1977</v>
      </c>
      <c r="L102" s="25" t="s">
        <v>1978</v>
      </c>
      <c r="M102" s="26" t="s">
        <v>28</v>
      </c>
      <c r="N102" s="24" t="s">
        <v>1555</v>
      </c>
      <c r="O102" s="24" t="s">
        <v>1556</v>
      </c>
      <c r="P102" s="27"/>
      <c r="Q102" s="27"/>
      <c r="R102" s="28" t="s">
        <v>1979</v>
      </c>
      <c r="S102" s="8" t="s">
        <v>1980</v>
      </c>
      <c r="T102" s="29" t="s">
        <v>1951</v>
      </c>
      <c r="U102" s="24"/>
    </row>
    <row r="103" hidden="1">
      <c r="A103" s="30">
        <v>7.501013122114E12</v>
      </c>
      <c r="B103" s="20" t="s">
        <v>1957</v>
      </c>
      <c r="C103" s="21">
        <v>0.08</v>
      </c>
      <c r="D103" s="21">
        <v>0.24</v>
      </c>
      <c r="E103" s="21">
        <v>0.07</v>
      </c>
      <c r="F103" s="22">
        <v>4.0</v>
      </c>
      <c r="G103" s="23"/>
      <c r="H103" s="24" t="s">
        <v>1950</v>
      </c>
      <c r="I103" s="21" t="s">
        <v>1951</v>
      </c>
      <c r="J103" s="24" t="s">
        <v>1958</v>
      </c>
      <c r="K103" s="21" t="s">
        <v>1959</v>
      </c>
      <c r="L103" s="25" t="s">
        <v>1960</v>
      </c>
      <c r="M103" s="26" t="s">
        <v>28</v>
      </c>
      <c r="N103" s="24" t="s">
        <v>1555</v>
      </c>
      <c r="O103" s="24" t="s">
        <v>1918</v>
      </c>
      <c r="P103" s="27"/>
      <c r="Q103" s="27"/>
      <c r="R103" s="31" t="s">
        <v>1961</v>
      </c>
      <c r="S103" s="33" t="s">
        <v>1962</v>
      </c>
      <c r="T103" s="29" t="s">
        <v>1951</v>
      </c>
      <c r="U103" s="24"/>
    </row>
    <row r="104" hidden="1">
      <c r="A104" s="30">
        <v>7.501013122053E12</v>
      </c>
      <c r="B104" s="20" t="s">
        <v>1969</v>
      </c>
      <c r="C104" s="21">
        <v>0.08</v>
      </c>
      <c r="D104" s="21">
        <v>0.24</v>
      </c>
      <c r="E104" s="21">
        <v>0.07</v>
      </c>
      <c r="F104" s="22">
        <v>4.0</v>
      </c>
      <c r="G104" s="23"/>
      <c r="H104" s="24" t="s">
        <v>1950</v>
      </c>
      <c r="I104" s="21" t="s">
        <v>1951</v>
      </c>
      <c r="J104" s="24" t="s">
        <v>1970</v>
      </c>
      <c r="K104" s="21" t="s">
        <v>1971</v>
      </c>
      <c r="L104" s="25" t="s">
        <v>1972</v>
      </c>
      <c r="M104" s="26" t="s">
        <v>28</v>
      </c>
      <c r="N104" s="24" t="s">
        <v>1555</v>
      </c>
      <c r="O104" s="24" t="s">
        <v>1918</v>
      </c>
      <c r="P104" s="27"/>
      <c r="Q104" s="27"/>
      <c r="R104" s="31" t="s">
        <v>1973</v>
      </c>
      <c r="S104" s="33" t="s">
        <v>1974</v>
      </c>
      <c r="T104" s="29" t="s">
        <v>1951</v>
      </c>
      <c r="U104" s="24"/>
    </row>
    <row r="105" hidden="1">
      <c r="A105" s="30">
        <v>7.501013122039E12</v>
      </c>
      <c r="B105" s="20" t="s">
        <v>1963</v>
      </c>
      <c r="C105" s="21">
        <v>0.08</v>
      </c>
      <c r="D105" s="21">
        <v>0.24</v>
      </c>
      <c r="E105" s="21">
        <v>0.07</v>
      </c>
      <c r="F105" s="22">
        <v>4.0</v>
      </c>
      <c r="G105" s="23"/>
      <c r="H105" s="24" t="s">
        <v>1950</v>
      </c>
      <c r="I105" s="21" t="s">
        <v>1951</v>
      </c>
      <c r="J105" s="24" t="s">
        <v>1964</v>
      </c>
      <c r="K105" s="21" t="s">
        <v>1965</v>
      </c>
      <c r="L105" s="25" t="s">
        <v>1966</v>
      </c>
      <c r="M105" s="26" t="s">
        <v>28</v>
      </c>
      <c r="N105" s="24" t="s">
        <v>1555</v>
      </c>
      <c r="O105" s="24" t="s">
        <v>1918</v>
      </c>
      <c r="P105" s="27"/>
      <c r="Q105" s="27"/>
      <c r="R105" s="31" t="s">
        <v>1967</v>
      </c>
      <c r="S105" s="33" t="s">
        <v>1968</v>
      </c>
      <c r="T105" s="29" t="s">
        <v>1951</v>
      </c>
      <c r="U105" s="24"/>
    </row>
    <row r="106" hidden="1">
      <c r="A106" s="30">
        <v>7.501013122992E12</v>
      </c>
      <c r="B106" s="20" t="s">
        <v>1987</v>
      </c>
      <c r="C106" s="21">
        <v>0.08</v>
      </c>
      <c r="D106" s="21">
        <v>0.24</v>
      </c>
      <c r="E106" s="21">
        <v>0.07</v>
      </c>
      <c r="F106" s="22">
        <v>4.0</v>
      </c>
      <c r="G106" s="23"/>
      <c r="H106" s="24" t="s">
        <v>1950</v>
      </c>
      <c r="I106" s="21" t="s">
        <v>1951</v>
      </c>
      <c r="J106" s="24" t="s">
        <v>1988</v>
      </c>
      <c r="K106" s="21" t="s">
        <v>1989</v>
      </c>
      <c r="L106" s="25" t="s">
        <v>1990</v>
      </c>
      <c r="M106" s="26" t="s">
        <v>28</v>
      </c>
      <c r="N106" s="24" t="s">
        <v>1555</v>
      </c>
      <c r="O106" s="24" t="s">
        <v>1918</v>
      </c>
      <c r="P106" s="27"/>
      <c r="Q106" s="27"/>
      <c r="R106" s="28" t="s">
        <v>1991</v>
      </c>
      <c r="S106" s="8" t="s">
        <v>1992</v>
      </c>
      <c r="T106" s="29" t="s">
        <v>1951</v>
      </c>
      <c r="U106" s="24"/>
    </row>
    <row r="107" hidden="1">
      <c r="A107" s="30">
        <v>8.690504033431E12</v>
      </c>
      <c r="B107" s="20" t="s">
        <v>1686</v>
      </c>
      <c r="C107" s="21">
        <v>0.16</v>
      </c>
      <c r="D107" s="21">
        <v>0.05</v>
      </c>
      <c r="E107" s="21">
        <v>0.02</v>
      </c>
      <c r="F107" s="22">
        <v>15.0</v>
      </c>
      <c r="G107" s="23"/>
      <c r="H107" s="24" t="s">
        <v>1679</v>
      </c>
      <c r="I107" s="21" t="s">
        <v>1680</v>
      </c>
      <c r="J107" s="24" t="s">
        <v>1687</v>
      </c>
      <c r="K107" s="21" t="s">
        <v>1688</v>
      </c>
      <c r="L107" s="25" t="s">
        <v>1689</v>
      </c>
      <c r="M107" s="26" t="s">
        <v>28</v>
      </c>
      <c r="N107" s="24" t="s">
        <v>501</v>
      </c>
      <c r="O107" s="24" t="s">
        <v>502</v>
      </c>
      <c r="P107" s="27"/>
      <c r="Q107" s="27"/>
      <c r="R107" s="31" t="s">
        <v>1690</v>
      </c>
      <c r="S107" s="33" t="s">
        <v>1691</v>
      </c>
      <c r="T107" s="29" t="s">
        <v>1680</v>
      </c>
      <c r="U107" s="24"/>
    </row>
    <row r="108" hidden="1">
      <c r="A108" s="30">
        <v>8.690504153856E12</v>
      </c>
      <c r="B108" s="20" t="s">
        <v>1698</v>
      </c>
      <c r="C108" s="21">
        <v>0.16</v>
      </c>
      <c r="D108" s="21">
        <v>0.05</v>
      </c>
      <c r="E108" s="21">
        <v>0.02</v>
      </c>
      <c r="F108" s="22">
        <v>15.0</v>
      </c>
      <c r="G108" s="23"/>
      <c r="H108" s="24" t="s">
        <v>1679</v>
      </c>
      <c r="I108" s="21" t="s">
        <v>1680</v>
      </c>
      <c r="J108" s="24" t="s">
        <v>1699</v>
      </c>
      <c r="K108" s="21" t="s">
        <v>1700</v>
      </c>
      <c r="L108" s="25" t="s">
        <v>1701</v>
      </c>
      <c r="M108" s="26" t="s">
        <v>28</v>
      </c>
      <c r="N108" s="24" t="s">
        <v>501</v>
      </c>
      <c r="O108" s="24" t="s">
        <v>502</v>
      </c>
      <c r="P108" s="27"/>
      <c r="Q108" s="27"/>
      <c r="R108" s="31" t="s">
        <v>1702</v>
      </c>
      <c r="S108" s="8" t="s">
        <v>1703</v>
      </c>
      <c r="T108" s="29" t="s">
        <v>1680</v>
      </c>
      <c r="U108" s="24"/>
    </row>
    <row r="109" hidden="1">
      <c r="A109" s="30">
        <v>8.690504033448E12</v>
      </c>
      <c r="B109" s="20" t="s">
        <v>1692</v>
      </c>
      <c r="C109" s="21">
        <v>0.16</v>
      </c>
      <c r="D109" s="21">
        <v>0.05</v>
      </c>
      <c r="E109" s="21">
        <v>0.02</v>
      </c>
      <c r="F109" s="22">
        <v>15.0</v>
      </c>
      <c r="G109" s="23"/>
      <c r="H109" s="24" t="s">
        <v>1679</v>
      </c>
      <c r="I109" s="21" t="s">
        <v>1680</v>
      </c>
      <c r="J109" s="24" t="s">
        <v>1693</v>
      </c>
      <c r="K109" s="21" t="s">
        <v>1694</v>
      </c>
      <c r="L109" s="25" t="s">
        <v>1695</v>
      </c>
      <c r="M109" s="26" t="s">
        <v>28</v>
      </c>
      <c r="N109" s="24" t="s">
        <v>501</v>
      </c>
      <c r="O109" s="24" t="s">
        <v>502</v>
      </c>
      <c r="P109" s="27"/>
      <c r="Q109" s="27"/>
      <c r="R109" s="31" t="s">
        <v>1696</v>
      </c>
      <c r="S109" s="8" t="s">
        <v>1697</v>
      </c>
      <c r="T109" s="29" t="s">
        <v>1680</v>
      </c>
      <c r="U109" s="24"/>
    </row>
    <row r="110" hidden="1">
      <c r="A110" s="30">
        <v>8.690504153764E12</v>
      </c>
      <c r="B110" s="20" t="s">
        <v>1678</v>
      </c>
      <c r="C110" s="21">
        <v>0.16</v>
      </c>
      <c r="D110" s="21">
        <v>0.05</v>
      </c>
      <c r="E110" s="21">
        <v>0.02</v>
      </c>
      <c r="F110" s="22">
        <v>15.0</v>
      </c>
      <c r="G110" s="23"/>
      <c r="H110" s="24" t="s">
        <v>1679</v>
      </c>
      <c r="I110" s="21" t="s">
        <v>1680</v>
      </c>
      <c r="J110" s="24" t="s">
        <v>1681</v>
      </c>
      <c r="K110" s="21" t="s">
        <v>1682</v>
      </c>
      <c r="L110" s="25" t="s">
        <v>1683</v>
      </c>
      <c r="M110" s="26" t="s">
        <v>28</v>
      </c>
      <c r="N110" s="24" t="s">
        <v>501</v>
      </c>
      <c r="O110" s="24" t="s">
        <v>502</v>
      </c>
      <c r="P110" s="27"/>
      <c r="Q110" s="27"/>
      <c r="R110" s="31" t="s">
        <v>1684</v>
      </c>
      <c r="S110" s="8" t="s">
        <v>1685</v>
      </c>
      <c r="T110" s="29" t="s">
        <v>1680</v>
      </c>
      <c r="U110" s="24"/>
    </row>
    <row r="111" hidden="1">
      <c r="A111" s="30">
        <v>7.290008464345E12</v>
      </c>
      <c r="B111" s="20" t="s">
        <v>1729</v>
      </c>
      <c r="C111" s="21">
        <v>0.06</v>
      </c>
      <c r="D111" s="21">
        <v>0.228</v>
      </c>
      <c r="E111" s="21">
        <v>0.06</v>
      </c>
      <c r="F111" s="22">
        <v>5.0</v>
      </c>
      <c r="G111" s="23"/>
      <c r="H111" s="24" t="s">
        <v>1730</v>
      </c>
      <c r="I111" s="21" t="s">
        <v>1731</v>
      </c>
      <c r="J111" s="24" t="s">
        <v>1732</v>
      </c>
      <c r="K111" s="21" t="s">
        <v>1733</v>
      </c>
      <c r="L111" s="25" t="s">
        <v>1734</v>
      </c>
      <c r="M111" s="26" t="s">
        <v>37</v>
      </c>
      <c r="N111" s="24" t="s">
        <v>365</v>
      </c>
      <c r="O111" s="24" t="s">
        <v>536</v>
      </c>
      <c r="P111" s="27"/>
      <c r="Q111" s="27"/>
      <c r="R111" s="28" t="s">
        <v>1735</v>
      </c>
      <c r="S111" s="8" t="s">
        <v>1736</v>
      </c>
      <c r="T111" s="29" t="e">
        <v>#N/A</v>
      </c>
      <c r="U111" s="24"/>
    </row>
    <row r="112" hidden="1">
      <c r="A112" s="30">
        <v>7.290008464109E12</v>
      </c>
      <c r="B112" s="20" t="s">
        <v>1749</v>
      </c>
      <c r="C112" s="21">
        <v>0.06</v>
      </c>
      <c r="D112" s="21">
        <v>0.228</v>
      </c>
      <c r="E112" s="21">
        <v>0.06</v>
      </c>
      <c r="F112" s="22">
        <v>5.0</v>
      </c>
      <c r="G112" s="23"/>
      <c r="H112" s="24" t="s">
        <v>1730</v>
      </c>
      <c r="I112" s="21" t="s">
        <v>1731</v>
      </c>
      <c r="J112" s="24" t="s">
        <v>1750</v>
      </c>
      <c r="K112" s="21" t="s">
        <v>1751</v>
      </c>
      <c r="L112" s="25" t="s">
        <v>1752</v>
      </c>
      <c r="M112" s="26" t="s">
        <v>37</v>
      </c>
      <c r="N112" s="24" t="s">
        <v>365</v>
      </c>
      <c r="O112" s="24" t="s">
        <v>536</v>
      </c>
      <c r="P112" s="27"/>
      <c r="Q112" s="27"/>
      <c r="R112" s="28" t="s">
        <v>1753</v>
      </c>
      <c r="S112" s="8" t="s">
        <v>1754</v>
      </c>
      <c r="T112" s="29" t="e">
        <v>#N/A</v>
      </c>
      <c r="U112" s="24"/>
    </row>
    <row r="113" hidden="1">
      <c r="A113" s="30">
        <v>7.290008464468E12</v>
      </c>
      <c r="B113" s="20" t="s">
        <v>1737</v>
      </c>
      <c r="C113" s="21">
        <v>0.065</v>
      </c>
      <c r="D113" s="21">
        <v>0.17</v>
      </c>
      <c r="E113" s="21">
        <v>0.065</v>
      </c>
      <c r="F113" s="22">
        <v>5.0</v>
      </c>
      <c r="G113" s="23"/>
      <c r="H113" s="24" t="s">
        <v>1730</v>
      </c>
      <c r="I113" s="21" t="s">
        <v>1731</v>
      </c>
      <c r="J113" s="24" t="s">
        <v>1738</v>
      </c>
      <c r="K113" s="21" t="s">
        <v>1739</v>
      </c>
      <c r="L113" s="25" t="s">
        <v>1740</v>
      </c>
      <c r="M113" s="26" t="s">
        <v>37</v>
      </c>
      <c r="N113" s="24" t="s">
        <v>365</v>
      </c>
      <c r="O113" s="24" t="s">
        <v>366</v>
      </c>
      <c r="P113" s="27"/>
      <c r="Q113" s="27"/>
      <c r="R113" s="31" t="s">
        <v>1741</v>
      </c>
      <c r="S113" s="33" t="s">
        <v>1742</v>
      </c>
      <c r="T113" s="29" t="e">
        <v>#N/A</v>
      </c>
      <c r="U113" s="24"/>
    </row>
    <row r="114" hidden="1">
      <c r="A114" s="30">
        <v>7.290008464024E12</v>
      </c>
      <c r="B114" s="20" t="s">
        <v>1743</v>
      </c>
      <c r="C114" s="21">
        <v>0.065</v>
      </c>
      <c r="D114" s="21">
        <v>0.17</v>
      </c>
      <c r="E114" s="21">
        <v>0.065</v>
      </c>
      <c r="F114" s="22">
        <v>5.0</v>
      </c>
      <c r="G114" s="23"/>
      <c r="H114" s="24" t="s">
        <v>1730</v>
      </c>
      <c r="I114" s="21" t="s">
        <v>1731</v>
      </c>
      <c r="J114" s="24" t="s">
        <v>1744</v>
      </c>
      <c r="K114" s="21" t="s">
        <v>1745</v>
      </c>
      <c r="L114" s="25" t="s">
        <v>1746</v>
      </c>
      <c r="M114" s="26" t="s">
        <v>37</v>
      </c>
      <c r="N114" s="24" t="s">
        <v>365</v>
      </c>
      <c r="O114" s="24" t="s">
        <v>366</v>
      </c>
      <c r="P114" s="27"/>
      <c r="Q114" s="27"/>
      <c r="R114" s="31" t="s">
        <v>1747</v>
      </c>
      <c r="S114" s="33" t="s">
        <v>1748</v>
      </c>
      <c r="T114" s="29" t="e">
        <v>#N/A</v>
      </c>
      <c r="U114" s="24"/>
    </row>
    <row r="115" hidden="1">
      <c r="A115" s="30">
        <v>7.501013101362E12</v>
      </c>
      <c r="B115" s="20" t="s">
        <v>1993</v>
      </c>
      <c r="C115" s="21">
        <v>0.068</v>
      </c>
      <c r="D115" s="21">
        <v>0.175</v>
      </c>
      <c r="E115" s="21">
        <v>0.068</v>
      </c>
      <c r="F115" s="22">
        <v>4.0</v>
      </c>
      <c r="G115" s="23"/>
      <c r="H115" s="24" t="s">
        <v>1994</v>
      </c>
      <c r="I115" s="21" t="s">
        <v>1951</v>
      </c>
      <c r="J115" s="24" t="s">
        <v>1995</v>
      </c>
      <c r="K115" s="21" t="s">
        <v>1996</v>
      </c>
      <c r="L115" s="25" t="s">
        <v>1997</v>
      </c>
      <c r="M115" s="26" t="s">
        <v>28</v>
      </c>
      <c r="N115" s="24" t="s">
        <v>1555</v>
      </c>
      <c r="O115" s="24" t="s">
        <v>1556</v>
      </c>
      <c r="P115" s="27"/>
      <c r="Q115" s="27"/>
      <c r="R115" s="28" t="s">
        <v>1998</v>
      </c>
      <c r="S115" s="8" t="s">
        <v>1999</v>
      </c>
      <c r="T115" s="29" t="s">
        <v>1951</v>
      </c>
      <c r="U115" s="24"/>
    </row>
    <row r="116" hidden="1">
      <c r="A116" s="30">
        <v>4122195.0</v>
      </c>
      <c r="B116" s="20" t="s">
        <v>1755</v>
      </c>
      <c r="C116" s="21">
        <v>0.134</v>
      </c>
      <c r="D116" s="21">
        <v>0.154</v>
      </c>
      <c r="E116" s="21">
        <v>0.035</v>
      </c>
      <c r="F116" s="22">
        <v>9.0</v>
      </c>
      <c r="G116" s="23"/>
      <c r="H116" s="24" t="s">
        <v>1756</v>
      </c>
      <c r="I116" s="21" t="s">
        <v>1757</v>
      </c>
      <c r="J116" s="24" t="s">
        <v>1758</v>
      </c>
      <c r="K116" s="21" t="s">
        <v>1759</v>
      </c>
      <c r="L116" s="25" t="s">
        <v>1760</v>
      </c>
      <c r="M116" s="26" t="s">
        <v>28</v>
      </c>
      <c r="N116" s="24" t="s">
        <v>1761</v>
      </c>
      <c r="O116" s="24" t="s">
        <v>1762</v>
      </c>
      <c r="P116" s="27"/>
      <c r="Q116" s="27"/>
      <c r="R116" s="28" t="s">
        <v>1763</v>
      </c>
      <c r="S116" s="8" t="s">
        <v>1764</v>
      </c>
      <c r="T116" s="29" t="s">
        <v>1765</v>
      </c>
      <c r="U116" s="24"/>
    </row>
    <row r="117" hidden="1">
      <c r="A117" s="30">
        <v>8.001160001786E12</v>
      </c>
      <c r="B117" s="20" t="s">
        <v>1648</v>
      </c>
      <c r="C117" s="21">
        <v>0.062</v>
      </c>
      <c r="D117" s="21">
        <v>0.24</v>
      </c>
      <c r="E117" s="21">
        <v>0.062</v>
      </c>
      <c r="F117" s="22">
        <v>5.0</v>
      </c>
      <c r="G117" s="23"/>
      <c r="H117" s="24" t="s">
        <v>1639</v>
      </c>
      <c r="I117" s="21" t="s">
        <v>1640</v>
      </c>
      <c r="J117" s="24" t="s">
        <v>1649</v>
      </c>
      <c r="K117" s="21" t="s">
        <v>1650</v>
      </c>
      <c r="L117" s="25" t="s">
        <v>1651</v>
      </c>
      <c r="M117" s="26" t="s">
        <v>28</v>
      </c>
      <c r="N117" s="24" t="s">
        <v>340</v>
      </c>
      <c r="O117" s="24" t="s">
        <v>1645</v>
      </c>
      <c r="P117" s="27"/>
      <c r="Q117" s="27"/>
      <c r="R117" s="28" t="s">
        <v>1652</v>
      </c>
      <c r="S117" s="8" t="s">
        <v>1653</v>
      </c>
      <c r="T117" s="29" t="s">
        <v>1640</v>
      </c>
      <c r="U117" s="24"/>
    </row>
    <row r="118" hidden="1">
      <c r="A118" s="30">
        <v>8.001160001892E12</v>
      </c>
      <c r="B118" s="20" t="s">
        <v>1638</v>
      </c>
      <c r="C118" s="21">
        <v>0.062</v>
      </c>
      <c r="D118" s="21">
        <v>0.24</v>
      </c>
      <c r="E118" s="21">
        <v>0.062</v>
      </c>
      <c r="F118" s="22">
        <v>5.0</v>
      </c>
      <c r="G118" s="23"/>
      <c r="H118" s="24" t="s">
        <v>1639</v>
      </c>
      <c r="I118" s="21" t="s">
        <v>1640</v>
      </c>
      <c r="J118" s="24" t="s">
        <v>1642</v>
      </c>
      <c r="K118" s="21" t="s">
        <v>1643</v>
      </c>
      <c r="L118" s="25" t="s">
        <v>1644</v>
      </c>
      <c r="M118" s="26" t="s">
        <v>28</v>
      </c>
      <c r="N118" s="24" t="s">
        <v>340</v>
      </c>
      <c r="O118" s="24" t="s">
        <v>1645</v>
      </c>
      <c r="P118" s="27"/>
      <c r="Q118" s="27"/>
      <c r="R118" s="28" t="s">
        <v>1646</v>
      </c>
      <c r="S118" s="8" t="s">
        <v>1647</v>
      </c>
      <c r="T118" s="29" t="s">
        <v>1640</v>
      </c>
      <c r="U118" s="24"/>
    </row>
    <row r="119" hidden="1">
      <c r="A119" s="30">
        <v>8.714599513828E12</v>
      </c>
      <c r="B119" s="20" t="s">
        <v>5183</v>
      </c>
      <c r="C119" s="21">
        <v>0.061</v>
      </c>
      <c r="D119" s="21">
        <v>0.09999999</v>
      </c>
      <c r="E119" s="21">
        <v>0.02</v>
      </c>
      <c r="F119" s="22">
        <v>15.0</v>
      </c>
      <c r="G119" s="23"/>
      <c r="H119" s="24" t="s">
        <v>1940</v>
      </c>
      <c r="I119" s="21" t="s">
        <v>1948</v>
      </c>
      <c r="J119" s="24" t="s">
        <v>1942</v>
      </c>
      <c r="K119" s="21" t="s">
        <v>1943</v>
      </c>
      <c r="L119" s="25" t="s">
        <v>1944</v>
      </c>
      <c r="M119" s="26" t="s">
        <v>28</v>
      </c>
      <c r="N119" s="24" t="s">
        <v>1262</v>
      </c>
      <c r="O119" s="24" t="s">
        <v>1945</v>
      </c>
      <c r="P119" s="27"/>
      <c r="Q119" s="27"/>
      <c r="R119" s="28" t="s">
        <v>1946</v>
      </c>
      <c r="S119" s="8" t="s">
        <v>1947</v>
      </c>
      <c r="T119" s="29" t="s">
        <v>1948</v>
      </c>
      <c r="U119" s="24"/>
    </row>
    <row r="120" hidden="1">
      <c r="A120" s="30">
        <v>4125417.0</v>
      </c>
      <c r="B120" s="20" t="s">
        <v>1654</v>
      </c>
      <c r="C120" s="21">
        <v>0.07</v>
      </c>
      <c r="D120" s="21">
        <v>0.08</v>
      </c>
      <c r="E120" s="21">
        <v>0.075</v>
      </c>
      <c r="F120" s="22">
        <v>4.0</v>
      </c>
      <c r="G120" s="23"/>
      <c r="H120" s="24" t="s">
        <v>1655</v>
      </c>
      <c r="I120" s="21" t="s">
        <v>1656</v>
      </c>
      <c r="J120" s="24" t="s">
        <v>1657</v>
      </c>
      <c r="K120" s="21" t="s">
        <v>1658</v>
      </c>
      <c r="L120" s="25" t="s">
        <v>1659</v>
      </c>
      <c r="M120" s="26" t="s">
        <v>28</v>
      </c>
      <c r="N120" s="24" t="s">
        <v>975</v>
      </c>
      <c r="O120" s="24" t="s">
        <v>1660</v>
      </c>
      <c r="P120" s="27"/>
      <c r="Q120" s="27"/>
      <c r="R120" s="28" t="s">
        <v>1661</v>
      </c>
      <c r="S120" s="8" t="s">
        <v>1662</v>
      </c>
      <c r="T120" s="29" t="s">
        <v>1656</v>
      </c>
      <c r="U120" s="24"/>
    </row>
    <row r="121" hidden="1">
      <c r="A121" s="30">
        <v>7.290000066264E12</v>
      </c>
      <c r="B121" s="20" t="s">
        <v>1126</v>
      </c>
      <c r="C121" s="21">
        <v>0.145</v>
      </c>
      <c r="D121" s="21">
        <v>0.189</v>
      </c>
      <c r="E121" s="21">
        <v>0.055</v>
      </c>
      <c r="F121" s="22">
        <v>5.0</v>
      </c>
      <c r="G121" s="23"/>
      <c r="H121" s="24" t="s">
        <v>1127</v>
      </c>
      <c r="I121" s="21" t="s">
        <v>1128</v>
      </c>
      <c r="J121" s="24" t="s">
        <v>1129</v>
      </c>
      <c r="K121" s="21" t="s">
        <v>1130</v>
      </c>
      <c r="L121" s="25" t="s">
        <v>1131</v>
      </c>
      <c r="M121" s="26" t="s">
        <v>37</v>
      </c>
      <c r="N121" s="24" t="s">
        <v>109</v>
      </c>
      <c r="O121" s="24" t="s">
        <v>380</v>
      </c>
      <c r="P121" s="27"/>
      <c r="Q121" s="27"/>
      <c r="R121" s="28" t="s">
        <v>1132</v>
      </c>
      <c r="S121" s="8" t="s">
        <v>1133</v>
      </c>
      <c r="T121" s="29" t="e">
        <v>#N/A</v>
      </c>
      <c r="U121" s="21" t="s">
        <v>113</v>
      </c>
    </row>
    <row r="122" hidden="1">
      <c r="A122" s="30">
        <v>7.290006653857E12</v>
      </c>
      <c r="B122" s="20" t="s">
        <v>1134</v>
      </c>
      <c r="C122" s="21">
        <v>0.145</v>
      </c>
      <c r="D122" s="21">
        <v>0.189</v>
      </c>
      <c r="E122" s="21">
        <v>0.055</v>
      </c>
      <c r="F122" s="22">
        <v>5.0</v>
      </c>
      <c r="G122" s="23"/>
      <c r="H122" s="24" t="s">
        <v>1127</v>
      </c>
      <c r="I122" s="21" t="s">
        <v>1128</v>
      </c>
      <c r="J122" s="24" t="s">
        <v>1135</v>
      </c>
      <c r="K122" s="21" t="s">
        <v>1136</v>
      </c>
      <c r="L122" s="25" t="s">
        <v>1137</v>
      </c>
      <c r="M122" s="26" t="s">
        <v>37</v>
      </c>
      <c r="N122" s="24" t="s">
        <v>109</v>
      </c>
      <c r="O122" s="24" t="s">
        <v>380</v>
      </c>
      <c r="P122" s="27"/>
      <c r="Q122" s="27"/>
      <c r="R122" s="28" t="s">
        <v>1138</v>
      </c>
      <c r="S122" s="8" t="s">
        <v>1139</v>
      </c>
      <c r="T122" s="29" t="e">
        <v>#N/A</v>
      </c>
      <c r="U122" s="21" t="s">
        <v>113</v>
      </c>
    </row>
    <row r="123" hidden="1">
      <c r="A123" s="30">
        <v>7.290106528628E12</v>
      </c>
      <c r="B123" s="20" t="s">
        <v>1116</v>
      </c>
      <c r="C123" s="21">
        <v>0.1675</v>
      </c>
      <c r="D123" s="21">
        <v>0.31</v>
      </c>
      <c r="E123" s="21">
        <v>0.07</v>
      </c>
      <c r="F123" s="22">
        <v>4.0</v>
      </c>
      <c r="G123" s="23"/>
      <c r="H123" s="24" t="s">
        <v>1089</v>
      </c>
      <c r="I123" s="21" t="s">
        <v>1090</v>
      </c>
      <c r="J123" s="24" t="s">
        <v>1117</v>
      </c>
      <c r="K123" s="21" t="s">
        <v>1118</v>
      </c>
      <c r="L123" s="25" t="s">
        <v>1119</v>
      </c>
      <c r="M123" s="26" t="s">
        <v>28</v>
      </c>
      <c r="N123" s="24" t="s">
        <v>109</v>
      </c>
      <c r="O123" s="24" t="s">
        <v>1094</v>
      </c>
      <c r="P123" s="27"/>
      <c r="Q123" s="27"/>
      <c r="R123" s="28" t="s">
        <v>1120</v>
      </c>
      <c r="S123" s="8" t="s">
        <v>1119</v>
      </c>
      <c r="T123" s="29" t="s">
        <v>1090</v>
      </c>
      <c r="U123" s="21" t="s">
        <v>113</v>
      </c>
    </row>
    <row r="124" hidden="1">
      <c r="A124" s="30">
        <v>7.29010085093E12</v>
      </c>
      <c r="B124" s="20" t="s">
        <v>1121</v>
      </c>
      <c r="C124" s="21">
        <v>0.133</v>
      </c>
      <c r="D124" s="21">
        <v>0.21</v>
      </c>
      <c r="E124" s="21">
        <v>0.05</v>
      </c>
      <c r="F124" s="22">
        <v>6.0</v>
      </c>
      <c r="G124" s="23"/>
      <c r="H124" s="24" t="s">
        <v>1089</v>
      </c>
      <c r="I124" s="21" t="s">
        <v>1090</v>
      </c>
      <c r="J124" s="24" t="s">
        <v>1122</v>
      </c>
      <c r="K124" s="21" t="s">
        <v>1123</v>
      </c>
      <c r="L124" s="25" t="s">
        <v>1124</v>
      </c>
      <c r="M124" s="26" t="s">
        <v>28</v>
      </c>
      <c r="N124" s="24" t="s">
        <v>109</v>
      </c>
      <c r="O124" s="24" t="s">
        <v>1094</v>
      </c>
      <c r="P124" s="27"/>
      <c r="Q124" s="27"/>
      <c r="R124" s="31" t="s">
        <v>1125</v>
      </c>
      <c r="S124" s="8" t="s">
        <v>1124</v>
      </c>
      <c r="T124" s="29" t="s">
        <v>1090</v>
      </c>
      <c r="U124" s="21" t="s">
        <v>113</v>
      </c>
    </row>
    <row r="125" hidden="1">
      <c r="A125" s="30">
        <v>7.290106528567E12</v>
      </c>
      <c r="B125" s="20" t="s">
        <v>1088</v>
      </c>
      <c r="C125" s="21">
        <v>0.1675</v>
      </c>
      <c r="D125" s="21">
        <v>0.31</v>
      </c>
      <c r="E125" s="21">
        <v>0.07</v>
      </c>
      <c r="F125" s="22">
        <v>4.0</v>
      </c>
      <c r="G125" s="23"/>
      <c r="H125" s="24" t="s">
        <v>1089</v>
      </c>
      <c r="I125" s="21" t="s">
        <v>1090</v>
      </c>
      <c r="J125" s="24" t="s">
        <v>1091</v>
      </c>
      <c r="K125" s="21" t="s">
        <v>1092</v>
      </c>
      <c r="L125" s="25" t="s">
        <v>1093</v>
      </c>
      <c r="M125" s="26" t="s">
        <v>28</v>
      </c>
      <c r="N125" s="24" t="s">
        <v>109</v>
      </c>
      <c r="O125" s="24" t="s">
        <v>1094</v>
      </c>
      <c r="P125" s="27"/>
      <c r="Q125" s="27"/>
      <c r="R125" s="31" t="s">
        <v>1095</v>
      </c>
      <c r="S125" s="8" t="s">
        <v>1093</v>
      </c>
      <c r="T125" s="29" t="s">
        <v>1090</v>
      </c>
      <c r="U125" s="21" t="s">
        <v>113</v>
      </c>
    </row>
    <row r="126" hidden="1">
      <c r="A126" s="30">
        <v>7.290100850923E12</v>
      </c>
      <c r="B126" s="20" t="s">
        <v>1096</v>
      </c>
      <c r="C126" s="21">
        <v>0.133</v>
      </c>
      <c r="D126" s="21">
        <v>0.21</v>
      </c>
      <c r="E126" s="21">
        <v>0.05</v>
      </c>
      <c r="F126" s="22">
        <v>6.0</v>
      </c>
      <c r="G126" s="23"/>
      <c r="H126" s="24" t="s">
        <v>1089</v>
      </c>
      <c r="I126" s="21" t="s">
        <v>1090</v>
      </c>
      <c r="J126" s="24" t="s">
        <v>1097</v>
      </c>
      <c r="K126" s="21" t="s">
        <v>1098</v>
      </c>
      <c r="L126" s="25" t="s">
        <v>1099</v>
      </c>
      <c r="M126" s="26" t="s">
        <v>28</v>
      </c>
      <c r="N126" s="24" t="s">
        <v>109</v>
      </c>
      <c r="O126" s="24" t="s">
        <v>1094</v>
      </c>
      <c r="P126" s="27"/>
      <c r="Q126" s="27"/>
      <c r="R126" s="28" t="s">
        <v>1100</v>
      </c>
      <c r="S126" s="8" t="s">
        <v>1099</v>
      </c>
      <c r="T126" s="29" t="s">
        <v>1090</v>
      </c>
      <c r="U126" s="21" t="s">
        <v>113</v>
      </c>
    </row>
    <row r="127" hidden="1">
      <c r="A127" s="30">
        <v>7.290106667266E12</v>
      </c>
      <c r="B127" s="20" t="s">
        <v>1106</v>
      </c>
      <c r="C127" s="21">
        <v>0.1675</v>
      </c>
      <c r="D127" s="21">
        <v>0.31</v>
      </c>
      <c r="E127" s="21">
        <v>0.07</v>
      </c>
      <c r="F127" s="22">
        <v>4.0</v>
      </c>
      <c r="G127" s="23"/>
      <c r="H127" s="24" t="s">
        <v>1089</v>
      </c>
      <c r="I127" s="21" t="s">
        <v>1090</v>
      </c>
      <c r="J127" s="24" t="s">
        <v>1107</v>
      </c>
      <c r="K127" s="21" t="s">
        <v>1108</v>
      </c>
      <c r="L127" s="25" t="s">
        <v>1109</v>
      </c>
      <c r="M127" s="26" t="s">
        <v>28</v>
      </c>
      <c r="N127" s="24" t="s">
        <v>109</v>
      </c>
      <c r="O127" s="24" t="s">
        <v>1094</v>
      </c>
      <c r="P127" s="27"/>
      <c r="Q127" s="27"/>
      <c r="R127" s="28" t="s">
        <v>1110</v>
      </c>
      <c r="S127" s="33" t="s">
        <v>1109</v>
      </c>
      <c r="T127" s="29" t="s">
        <v>1090</v>
      </c>
      <c r="U127" s="21" t="s">
        <v>113</v>
      </c>
    </row>
    <row r="128" hidden="1">
      <c r="A128" s="30">
        <v>7.290100850916E12</v>
      </c>
      <c r="B128" s="20" t="s">
        <v>1111</v>
      </c>
      <c r="C128" s="21">
        <v>0.133</v>
      </c>
      <c r="D128" s="21">
        <v>0.21</v>
      </c>
      <c r="E128" s="21">
        <v>0.05</v>
      </c>
      <c r="F128" s="22">
        <v>6.0</v>
      </c>
      <c r="G128" s="23"/>
      <c r="H128" s="24" t="s">
        <v>1089</v>
      </c>
      <c r="I128" s="21" t="s">
        <v>1090</v>
      </c>
      <c r="J128" s="24" t="s">
        <v>1112</v>
      </c>
      <c r="K128" s="21" t="s">
        <v>1113</v>
      </c>
      <c r="L128" s="25" t="s">
        <v>1114</v>
      </c>
      <c r="M128" s="26" t="s">
        <v>28</v>
      </c>
      <c r="N128" s="24" t="s">
        <v>109</v>
      </c>
      <c r="O128" s="24" t="s">
        <v>1094</v>
      </c>
      <c r="P128" s="27"/>
      <c r="Q128" s="27"/>
      <c r="R128" s="28" t="s">
        <v>1115</v>
      </c>
      <c r="S128" s="8" t="s">
        <v>1114</v>
      </c>
      <c r="T128" s="29" t="s">
        <v>1090</v>
      </c>
      <c r="U128" s="21" t="s">
        <v>113</v>
      </c>
    </row>
    <row r="129" hidden="1">
      <c r="A129" s="30">
        <v>7.290010117864E12</v>
      </c>
      <c r="B129" s="20" t="s">
        <v>1101</v>
      </c>
      <c r="C129" s="21">
        <v>0.133</v>
      </c>
      <c r="D129" s="21">
        <v>0.21</v>
      </c>
      <c r="E129" s="21">
        <v>0.05</v>
      </c>
      <c r="F129" s="22">
        <v>6.0</v>
      </c>
      <c r="G129" s="23"/>
      <c r="H129" s="24" t="s">
        <v>1089</v>
      </c>
      <c r="I129" s="21" t="s">
        <v>1090</v>
      </c>
      <c r="J129" s="24" t="s">
        <v>1102</v>
      </c>
      <c r="K129" s="21" t="s">
        <v>1103</v>
      </c>
      <c r="L129" s="25" t="s">
        <v>1104</v>
      </c>
      <c r="M129" s="26" t="s">
        <v>28</v>
      </c>
      <c r="N129" s="24" t="s">
        <v>109</v>
      </c>
      <c r="O129" s="24" t="s">
        <v>1094</v>
      </c>
      <c r="P129" s="27"/>
      <c r="Q129" s="27"/>
      <c r="R129" s="28" t="s">
        <v>1105</v>
      </c>
      <c r="S129" s="8" t="s">
        <v>1104</v>
      </c>
      <c r="T129" s="29" t="s">
        <v>1090</v>
      </c>
      <c r="U129" s="21" t="s">
        <v>113</v>
      </c>
    </row>
    <row r="130" hidden="1">
      <c r="A130" s="30">
        <v>7.290112330352E12</v>
      </c>
      <c r="B130" s="20" t="s">
        <v>1054</v>
      </c>
      <c r="C130" s="21">
        <v>0.073</v>
      </c>
      <c r="D130" s="21">
        <v>0.072</v>
      </c>
      <c r="E130" s="21">
        <v>0.075</v>
      </c>
      <c r="F130" s="22">
        <v>4.0</v>
      </c>
      <c r="G130" s="23"/>
      <c r="H130" s="24" t="s">
        <v>1016</v>
      </c>
      <c r="I130" s="21" t="s">
        <v>1017</v>
      </c>
      <c r="J130" s="24" t="s">
        <v>1055</v>
      </c>
      <c r="K130" s="21" t="s">
        <v>1056</v>
      </c>
      <c r="L130" s="25" t="s">
        <v>1057</v>
      </c>
      <c r="M130" s="26" t="s">
        <v>28</v>
      </c>
      <c r="N130" s="24" t="s">
        <v>1021</v>
      </c>
      <c r="O130" s="24" t="s">
        <v>1058</v>
      </c>
      <c r="P130" s="27"/>
      <c r="Q130" s="27"/>
      <c r="R130" s="28" t="s">
        <v>1059</v>
      </c>
      <c r="S130" s="33" t="s">
        <v>1060</v>
      </c>
      <c r="T130" s="29" t="s">
        <v>1025</v>
      </c>
      <c r="U130" s="24"/>
    </row>
    <row r="131" hidden="1">
      <c r="A131" s="30">
        <v>408354.0</v>
      </c>
      <c r="B131" s="20" t="s">
        <v>1026</v>
      </c>
      <c r="C131" s="21">
        <v>0.13</v>
      </c>
      <c r="D131" s="21">
        <v>0.075</v>
      </c>
      <c r="E131" s="21">
        <v>0.045</v>
      </c>
      <c r="F131" s="22">
        <v>7.0</v>
      </c>
      <c r="G131" s="23"/>
      <c r="H131" s="24" t="s">
        <v>1016</v>
      </c>
      <c r="I131" s="21" t="s">
        <v>1017</v>
      </c>
      <c r="J131" s="24" t="s">
        <v>1027</v>
      </c>
      <c r="K131" s="21" t="s">
        <v>1028</v>
      </c>
      <c r="L131" s="25" t="s">
        <v>1029</v>
      </c>
      <c r="M131" s="26" t="s">
        <v>28</v>
      </c>
      <c r="N131" s="24" t="s">
        <v>1021</v>
      </c>
      <c r="O131" s="24" t="s">
        <v>1022</v>
      </c>
      <c r="P131" s="27"/>
      <c r="Q131" s="27"/>
      <c r="R131" s="28" t="s">
        <v>1030</v>
      </c>
      <c r="S131" s="8" t="s">
        <v>1031</v>
      </c>
      <c r="T131" s="29" t="s">
        <v>1017</v>
      </c>
      <c r="U131" s="24"/>
    </row>
    <row r="132" hidden="1">
      <c r="A132" s="30">
        <v>3321155.0</v>
      </c>
      <c r="B132" s="20" t="s">
        <v>1048</v>
      </c>
      <c r="C132" s="21">
        <v>0.13</v>
      </c>
      <c r="D132" s="21">
        <v>0.075</v>
      </c>
      <c r="E132" s="21">
        <v>0.045</v>
      </c>
      <c r="F132" s="22">
        <v>7.0</v>
      </c>
      <c r="G132" s="23"/>
      <c r="H132" s="24" t="s">
        <v>1016</v>
      </c>
      <c r="I132" s="21" t="s">
        <v>1017</v>
      </c>
      <c r="J132" s="24" t="s">
        <v>1049</v>
      </c>
      <c r="K132" s="21" t="s">
        <v>1050</v>
      </c>
      <c r="L132" s="25" t="s">
        <v>1051</v>
      </c>
      <c r="M132" s="26" t="s">
        <v>28</v>
      </c>
      <c r="N132" s="24" t="s">
        <v>1021</v>
      </c>
      <c r="O132" s="24" t="s">
        <v>1022</v>
      </c>
      <c r="P132" s="27"/>
      <c r="Q132" s="27"/>
      <c r="R132" s="28" t="s">
        <v>1052</v>
      </c>
      <c r="S132" s="8" t="s">
        <v>1053</v>
      </c>
      <c r="T132" s="29" t="s">
        <v>1017</v>
      </c>
      <c r="U132" s="24"/>
    </row>
    <row r="133" hidden="1">
      <c r="A133" s="30">
        <v>7.290110566975E12</v>
      </c>
      <c r="B133" s="20" t="s">
        <v>1015</v>
      </c>
      <c r="C133" s="21">
        <v>0.073</v>
      </c>
      <c r="D133" s="21">
        <v>0.07</v>
      </c>
      <c r="E133" s="21">
        <v>0.095</v>
      </c>
      <c r="F133" s="22">
        <v>3.0</v>
      </c>
      <c r="G133" s="23"/>
      <c r="H133" s="24" t="s">
        <v>1016</v>
      </c>
      <c r="I133" s="21" t="s">
        <v>1017</v>
      </c>
      <c r="J133" s="24" t="s">
        <v>1018</v>
      </c>
      <c r="K133" s="21" t="s">
        <v>1019</v>
      </c>
      <c r="L133" s="25" t="s">
        <v>1020</v>
      </c>
      <c r="M133" s="26" t="s">
        <v>28</v>
      </c>
      <c r="N133" s="24" t="s">
        <v>1021</v>
      </c>
      <c r="O133" s="24" t="s">
        <v>1022</v>
      </c>
      <c r="P133" s="27"/>
      <c r="Q133" s="27"/>
      <c r="R133" s="28" t="s">
        <v>1023</v>
      </c>
      <c r="S133" s="8" t="s">
        <v>1024</v>
      </c>
      <c r="T133" s="29" t="s">
        <v>1025</v>
      </c>
      <c r="U133" s="24"/>
    </row>
    <row r="134" hidden="1">
      <c r="A134" s="30">
        <v>408316.0</v>
      </c>
      <c r="B134" s="20" t="s">
        <v>1032</v>
      </c>
      <c r="C134" s="21">
        <v>0.073</v>
      </c>
      <c r="D134" s="21">
        <v>0.09</v>
      </c>
      <c r="E134" s="21">
        <v>0.065</v>
      </c>
      <c r="F134" s="22">
        <v>5.0</v>
      </c>
      <c r="G134" s="23"/>
      <c r="H134" s="24" t="s">
        <v>1016</v>
      </c>
      <c r="I134" s="21" t="s">
        <v>1017</v>
      </c>
      <c r="J134" s="24" t="s">
        <v>1033</v>
      </c>
      <c r="K134" s="21" t="s">
        <v>1034</v>
      </c>
      <c r="L134" s="25" t="s">
        <v>1035</v>
      </c>
      <c r="M134" s="26" t="s">
        <v>28</v>
      </c>
      <c r="N134" s="24" t="s">
        <v>1021</v>
      </c>
      <c r="O134" s="24" t="s">
        <v>1036</v>
      </c>
      <c r="P134" s="27"/>
      <c r="Q134" s="27"/>
      <c r="R134" s="28" t="s">
        <v>1037</v>
      </c>
      <c r="S134" s="8" t="s">
        <v>1038</v>
      </c>
      <c r="T134" s="29" t="s">
        <v>1039</v>
      </c>
      <c r="U134" s="24"/>
    </row>
    <row r="135" hidden="1">
      <c r="A135" s="30">
        <v>4584528.0</v>
      </c>
      <c r="B135" s="20" t="s">
        <v>1082</v>
      </c>
      <c r="C135" s="21">
        <v>0.073</v>
      </c>
      <c r="D135" s="21">
        <v>0.09</v>
      </c>
      <c r="E135" s="21">
        <v>0.075</v>
      </c>
      <c r="F135" s="22">
        <v>4.0</v>
      </c>
      <c r="G135" s="23"/>
      <c r="H135" s="24" t="s">
        <v>1016</v>
      </c>
      <c r="I135" s="21" t="s">
        <v>1017</v>
      </c>
      <c r="J135" s="24" t="s">
        <v>1083</v>
      </c>
      <c r="K135" s="21" t="s">
        <v>1084</v>
      </c>
      <c r="L135" s="25" t="s">
        <v>1085</v>
      </c>
      <c r="M135" s="26" t="s">
        <v>28</v>
      </c>
      <c r="N135" s="24" t="s">
        <v>1021</v>
      </c>
      <c r="O135" s="24" t="s">
        <v>1036</v>
      </c>
      <c r="P135" s="27"/>
      <c r="Q135" s="27"/>
      <c r="R135" s="28" t="s">
        <v>1086</v>
      </c>
      <c r="S135" s="8" t="s">
        <v>1087</v>
      </c>
      <c r="T135" s="29" t="s">
        <v>1039</v>
      </c>
      <c r="U135" s="24"/>
    </row>
    <row r="136" hidden="1">
      <c r="A136" s="30">
        <v>7.290110565527E12</v>
      </c>
      <c r="B136" s="20" t="s">
        <v>1068</v>
      </c>
      <c r="C136" s="21">
        <v>0.073</v>
      </c>
      <c r="D136" s="21">
        <v>0.07</v>
      </c>
      <c r="E136" s="21">
        <v>0.075</v>
      </c>
      <c r="F136" s="22">
        <v>4.0</v>
      </c>
      <c r="G136" s="23"/>
      <c r="H136" s="24" t="s">
        <v>1016</v>
      </c>
      <c r="I136" s="21" t="s">
        <v>1017</v>
      </c>
      <c r="J136" s="24" t="s">
        <v>1069</v>
      </c>
      <c r="K136" s="21" t="s">
        <v>1070</v>
      </c>
      <c r="L136" s="25" t="s">
        <v>1071</v>
      </c>
      <c r="M136" s="26" t="s">
        <v>28</v>
      </c>
      <c r="N136" s="24" t="s">
        <v>1021</v>
      </c>
      <c r="O136" s="24" t="s">
        <v>1036</v>
      </c>
      <c r="P136" s="27"/>
      <c r="Q136" s="27"/>
      <c r="R136" s="28" t="s">
        <v>1072</v>
      </c>
      <c r="S136" s="8" t="s">
        <v>1073</v>
      </c>
      <c r="T136" s="29" t="s">
        <v>1025</v>
      </c>
      <c r="U136" s="24"/>
    </row>
    <row r="137" hidden="1">
      <c r="A137" s="30">
        <v>7.290110568276E12</v>
      </c>
      <c r="B137" s="20" t="s">
        <v>1074</v>
      </c>
      <c r="C137" s="21">
        <v>0.062</v>
      </c>
      <c r="D137" s="21">
        <v>0.173</v>
      </c>
      <c r="E137" s="21">
        <v>0.062</v>
      </c>
      <c r="F137" s="22">
        <v>5.0</v>
      </c>
      <c r="G137" s="23"/>
      <c r="H137" s="24" t="s">
        <v>1016</v>
      </c>
      <c r="I137" s="21" t="s">
        <v>1017</v>
      </c>
      <c r="J137" s="24" t="s">
        <v>1075</v>
      </c>
      <c r="K137" s="21" t="s">
        <v>1076</v>
      </c>
      <c r="L137" s="25" t="s">
        <v>1077</v>
      </c>
      <c r="M137" s="26" t="s">
        <v>28</v>
      </c>
      <c r="N137" s="24" t="s">
        <v>700</v>
      </c>
      <c r="O137" s="24" t="s">
        <v>1078</v>
      </c>
      <c r="P137" s="27"/>
      <c r="Q137" s="27"/>
      <c r="R137" s="31" t="s">
        <v>1079</v>
      </c>
      <c r="S137" s="8" t="s">
        <v>1080</v>
      </c>
      <c r="T137" s="29" t="s">
        <v>1081</v>
      </c>
      <c r="U137" s="24"/>
    </row>
    <row r="138" hidden="1">
      <c r="A138" s="30">
        <v>7.290105965738E12</v>
      </c>
      <c r="B138" s="20" t="s">
        <v>1040</v>
      </c>
      <c r="C138" s="21">
        <v>0.06</v>
      </c>
      <c r="D138" s="21">
        <v>0.155</v>
      </c>
      <c r="E138" s="21">
        <v>0.06</v>
      </c>
      <c r="F138" s="22">
        <v>5.0</v>
      </c>
      <c r="G138" s="23"/>
      <c r="H138" s="24" t="s">
        <v>1016</v>
      </c>
      <c r="I138" s="21" t="s">
        <v>1017</v>
      </c>
      <c r="J138" s="24" t="s">
        <v>1041</v>
      </c>
      <c r="K138" s="21" t="s">
        <v>1042</v>
      </c>
      <c r="L138" s="25" t="s">
        <v>1043</v>
      </c>
      <c r="M138" s="26" t="s">
        <v>28</v>
      </c>
      <c r="N138" s="24" t="s">
        <v>1021</v>
      </c>
      <c r="O138" s="24" t="s">
        <v>1044</v>
      </c>
      <c r="P138" s="27"/>
      <c r="Q138" s="27"/>
      <c r="R138" s="28" t="s">
        <v>1045</v>
      </c>
      <c r="S138" s="8" t="s">
        <v>1046</v>
      </c>
      <c r="T138" s="29" t="s">
        <v>1047</v>
      </c>
      <c r="U138" s="24"/>
    </row>
    <row r="139" hidden="1">
      <c r="A139" s="30">
        <v>7.290112346698E12</v>
      </c>
      <c r="B139" s="20" t="s">
        <v>1061</v>
      </c>
      <c r="C139" s="21">
        <v>0.073</v>
      </c>
      <c r="D139" s="21">
        <v>0.155</v>
      </c>
      <c r="E139" s="21">
        <v>0.075</v>
      </c>
      <c r="F139" s="22">
        <v>4.0</v>
      </c>
      <c r="G139" s="23"/>
      <c r="H139" s="24" t="s">
        <v>1016</v>
      </c>
      <c r="I139" s="21" t="s">
        <v>1017</v>
      </c>
      <c r="J139" s="24" t="s">
        <v>1062</v>
      </c>
      <c r="K139" s="21" t="s">
        <v>1063</v>
      </c>
      <c r="L139" s="25" t="s">
        <v>1064</v>
      </c>
      <c r="M139" s="26" t="s">
        <v>28</v>
      </c>
      <c r="N139" s="24" t="s">
        <v>1021</v>
      </c>
      <c r="O139" s="24" t="s">
        <v>1044</v>
      </c>
      <c r="P139" s="27"/>
      <c r="Q139" s="27"/>
      <c r="R139" s="28" t="s">
        <v>1065</v>
      </c>
      <c r="S139" s="8" t="s">
        <v>1066</v>
      </c>
      <c r="T139" s="29" t="s">
        <v>1067</v>
      </c>
      <c r="U139" s="24"/>
    </row>
    <row r="140" hidden="1">
      <c r="A140" s="30">
        <v>5838002.0</v>
      </c>
      <c r="B140" s="20" t="s">
        <v>1005</v>
      </c>
      <c r="C140" s="21">
        <v>0.075</v>
      </c>
      <c r="D140" s="21">
        <v>0.061</v>
      </c>
      <c r="E140" s="21">
        <v>0.125</v>
      </c>
      <c r="F140" s="22">
        <v>2.0</v>
      </c>
      <c r="G140" s="23"/>
      <c r="H140" s="24" t="s">
        <v>1006</v>
      </c>
      <c r="I140" s="21" t="s">
        <v>1007</v>
      </c>
      <c r="J140" s="24" t="s">
        <v>1008</v>
      </c>
      <c r="K140" s="21" t="s">
        <v>1009</v>
      </c>
      <c r="L140" s="25" t="s">
        <v>1010</v>
      </c>
      <c r="M140" s="26" t="s">
        <v>28</v>
      </c>
      <c r="N140" s="24" t="s">
        <v>1011</v>
      </c>
      <c r="O140" s="24" t="s">
        <v>1012</v>
      </c>
      <c r="P140" s="27"/>
      <c r="Q140" s="27"/>
      <c r="R140" s="31" t="s">
        <v>1013</v>
      </c>
      <c r="S140" s="33" t="s">
        <v>1014</v>
      </c>
      <c r="T140" s="29" t="s">
        <v>1007</v>
      </c>
      <c r="U140" s="24"/>
    </row>
    <row r="141" hidden="1">
      <c r="A141" s="30">
        <v>7.290014761056E12</v>
      </c>
      <c r="B141" s="20" t="s">
        <v>4967</v>
      </c>
      <c r="C141" s="21">
        <v>0.063</v>
      </c>
      <c r="D141" s="21">
        <v>0.067</v>
      </c>
      <c r="E141" s="21">
        <v>0.063</v>
      </c>
      <c r="F141" s="22">
        <v>2.0</v>
      </c>
      <c r="G141" s="23"/>
      <c r="H141" s="24" t="s">
        <v>4955</v>
      </c>
      <c r="I141" s="21" t="s">
        <v>4956</v>
      </c>
      <c r="J141" s="24" t="s">
        <v>4968</v>
      </c>
      <c r="K141" s="21" t="s">
        <v>4969</v>
      </c>
      <c r="L141" s="25" t="s">
        <v>4970</v>
      </c>
      <c r="M141" s="26" t="s">
        <v>37</v>
      </c>
      <c r="N141" s="24" t="s">
        <v>1011</v>
      </c>
      <c r="O141" s="24"/>
      <c r="P141" s="27"/>
      <c r="Q141" s="27"/>
      <c r="R141" s="28"/>
      <c r="S141" s="8"/>
      <c r="T141" s="29"/>
      <c r="U141" s="21"/>
    </row>
    <row r="142" hidden="1">
      <c r="A142" s="30">
        <v>7.290014761063E12</v>
      </c>
      <c r="B142" s="20" t="s">
        <v>4954</v>
      </c>
      <c r="C142" s="21">
        <v>0.063</v>
      </c>
      <c r="D142" s="21">
        <v>0.067</v>
      </c>
      <c r="E142" s="21">
        <v>0.063</v>
      </c>
      <c r="F142" s="22">
        <v>2.0</v>
      </c>
      <c r="G142" s="23"/>
      <c r="H142" s="24" t="s">
        <v>4955</v>
      </c>
      <c r="I142" s="21" t="s">
        <v>4956</v>
      </c>
      <c r="J142" s="24" t="s">
        <v>4957</v>
      </c>
      <c r="K142" s="21" t="s">
        <v>4958</v>
      </c>
      <c r="L142" s="25" t="s">
        <v>4959</v>
      </c>
      <c r="M142" s="26" t="s">
        <v>37</v>
      </c>
      <c r="N142" s="24" t="s">
        <v>1011</v>
      </c>
      <c r="O142" s="24"/>
      <c r="P142" s="27"/>
      <c r="Q142" s="27"/>
      <c r="R142" s="28"/>
      <c r="S142" s="8"/>
      <c r="T142" s="29"/>
      <c r="U142" s="21"/>
    </row>
    <row r="143" hidden="1">
      <c r="A143" s="30">
        <v>44712.0</v>
      </c>
      <c r="B143" s="20" t="s">
        <v>3835</v>
      </c>
      <c r="C143" s="21"/>
      <c r="D143" s="21"/>
      <c r="E143" s="21"/>
      <c r="F143" s="22"/>
      <c r="G143" s="23"/>
      <c r="H143" s="24" t="s">
        <v>3836</v>
      </c>
      <c r="I143" s="21" t="s">
        <v>3837</v>
      </c>
      <c r="J143" s="24" t="s">
        <v>3838</v>
      </c>
      <c r="K143" s="21" t="s">
        <v>5184</v>
      </c>
      <c r="L143" s="25" t="s">
        <v>3840</v>
      </c>
      <c r="M143" s="26" t="s">
        <v>37</v>
      </c>
      <c r="N143" s="24" t="s">
        <v>1011</v>
      </c>
      <c r="O143" s="24"/>
      <c r="P143" s="27"/>
      <c r="Q143" s="27"/>
      <c r="R143" s="28"/>
      <c r="S143" s="8"/>
      <c r="T143" s="29"/>
      <c r="U143" s="21"/>
    </row>
    <row r="144">
      <c r="A144" s="30">
        <v>7.290008166775E12</v>
      </c>
      <c r="B144" s="20" t="s">
        <v>1806</v>
      </c>
      <c r="C144" s="21">
        <v>0.12</v>
      </c>
      <c r="D144" s="21">
        <v>0.18</v>
      </c>
      <c r="E144" s="21">
        <v>0.03</v>
      </c>
      <c r="F144" s="22">
        <v>10.0</v>
      </c>
      <c r="G144" s="23"/>
      <c r="H144" s="24" t="s">
        <v>1789</v>
      </c>
      <c r="I144" s="21" t="s">
        <v>1790</v>
      </c>
      <c r="J144" s="24" t="s">
        <v>1807</v>
      </c>
      <c r="K144" s="21" t="s">
        <v>1808</v>
      </c>
      <c r="L144" s="25" t="s">
        <v>1809</v>
      </c>
      <c r="M144" s="26" t="s">
        <v>37</v>
      </c>
      <c r="N144" s="24" t="s">
        <v>1794</v>
      </c>
      <c r="O144" s="24" t="s">
        <v>1810</v>
      </c>
      <c r="P144" s="27"/>
      <c r="Q144" s="27"/>
      <c r="R144" s="28" t="s">
        <v>1811</v>
      </c>
      <c r="S144" s="8" t="s">
        <v>1812</v>
      </c>
      <c r="T144" s="29" t="e">
        <v>#N/A</v>
      </c>
      <c r="U144" s="21" t="s">
        <v>1798</v>
      </c>
    </row>
    <row r="145">
      <c r="A145" s="30">
        <v>7.290004532581E12</v>
      </c>
      <c r="B145" s="20" t="s">
        <v>1844</v>
      </c>
      <c r="C145" s="21">
        <v>0.12</v>
      </c>
      <c r="D145" s="21">
        <v>0.18</v>
      </c>
      <c r="E145" s="21">
        <v>0.03</v>
      </c>
      <c r="F145" s="22">
        <v>10.0</v>
      </c>
      <c r="G145" s="23"/>
      <c r="H145" s="24" t="s">
        <v>1789</v>
      </c>
      <c r="I145" s="21" t="s">
        <v>1790</v>
      </c>
      <c r="J145" s="24" t="s">
        <v>1845</v>
      </c>
      <c r="K145" s="21" t="s">
        <v>1846</v>
      </c>
      <c r="L145" s="25" t="s">
        <v>1847</v>
      </c>
      <c r="M145" s="26" t="s">
        <v>37</v>
      </c>
      <c r="N145" s="24" t="s">
        <v>1794</v>
      </c>
      <c r="O145" s="24" t="s">
        <v>1810</v>
      </c>
      <c r="P145" s="27"/>
      <c r="Q145" s="27"/>
      <c r="R145" s="28" t="s">
        <v>1848</v>
      </c>
      <c r="S145" s="8" t="s">
        <v>1849</v>
      </c>
      <c r="T145" s="29" t="e">
        <v>#N/A</v>
      </c>
      <c r="U145" s="21" t="s">
        <v>1798</v>
      </c>
    </row>
    <row r="146">
      <c r="A146" s="30">
        <v>7.29000453213E12</v>
      </c>
      <c r="B146" s="20" t="s">
        <v>1850</v>
      </c>
      <c r="C146" s="21">
        <v>0.12</v>
      </c>
      <c r="D146" s="21">
        <v>0.18</v>
      </c>
      <c r="E146" s="21">
        <v>0.03</v>
      </c>
      <c r="F146" s="22">
        <v>10.0</v>
      </c>
      <c r="G146" s="23"/>
      <c r="H146" s="24" t="s">
        <v>1789</v>
      </c>
      <c r="I146" s="21" t="s">
        <v>1790</v>
      </c>
      <c r="J146" s="24" t="s">
        <v>1851</v>
      </c>
      <c r="K146" s="21" t="s">
        <v>1852</v>
      </c>
      <c r="L146" s="25" t="s">
        <v>1853</v>
      </c>
      <c r="M146" s="26" t="s">
        <v>37</v>
      </c>
      <c r="N146" s="24" t="s">
        <v>1794</v>
      </c>
      <c r="O146" s="24" t="s">
        <v>1854</v>
      </c>
      <c r="P146" s="27"/>
      <c r="Q146" s="27"/>
      <c r="R146" s="31" t="s">
        <v>1855</v>
      </c>
      <c r="S146" s="33" t="s">
        <v>1856</v>
      </c>
      <c r="T146" s="29" t="e">
        <v>#N/A</v>
      </c>
      <c r="U146" s="21" t="s">
        <v>1798</v>
      </c>
    </row>
    <row r="147">
      <c r="A147" s="30">
        <v>7.290004532062E12</v>
      </c>
      <c r="B147" s="20" t="s">
        <v>1857</v>
      </c>
      <c r="C147" s="21">
        <v>0.12</v>
      </c>
      <c r="D147" s="21">
        <v>0.18</v>
      </c>
      <c r="E147" s="21">
        <v>0.03</v>
      </c>
      <c r="F147" s="22">
        <v>10.0</v>
      </c>
      <c r="G147" s="23"/>
      <c r="H147" s="24" t="s">
        <v>1789</v>
      </c>
      <c r="I147" s="21" t="s">
        <v>1790</v>
      </c>
      <c r="J147" s="24" t="s">
        <v>1858</v>
      </c>
      <c r="K147" s="21" t="s">
        <v>1859</v>
      </c>
      <c r="L147" s="25" t="s">
        <v>1860</v>
      </c>
      <c r="M147" s="26" t="s">
        <v>37</v>
      </c>
      <c r="N147" s="24" t="s">
        <v>1794</v>
      </c>
      <c r="O147" s="24" t="s">
        <v>1861</v>
      </c>
      <c r="P147" s="27"/>
      <c r="Q147" s="27"/>
      <c r="R147" s="28" t="s">
        <v>1862</v>
      </c>
      <c r="S147" s="8" t="s">
        <v>1863</v>
      </c>
      <c r="T147" s="29" t="e">
        <v>#N/A</v>
      </c>
      <c r="U147" s="21" t="s">
        <v>1798</v>
      </c>
    </row>
    <row r="148">
      <c r="A148" s="30">
        <v>7.290004532574E12</v>
      </c>
      <c r="B148" s="20" t="s">
        <v>1799</v>
      </c>
      <c r="C148" s="21">
        <v>0.12</v>
      </c>
      <c r="D148" s="21">
        <v>0.18</v>
      </c>
      <c r="E148" s="21">
        <v>0.03</v>
      </c>
      <c r="F148" s="22">
        <v>10.0</v>
      </c>
      <c r="G148" s="23"/>
      <c r="H148" s="24" t="s">
        <v>1789</v>
      </c>
      <c r="I148" s="21" t="s">
        <v>1790</v>
      </c>
      <c r="J148" s="24" t="s">
        <v>1800</v>
      </c>
      <c r="K148" s="21" t="s">
        <v>1801</v>
      </c>
      <c r="L148" s="25" t="s">
        <v>1802</v>
      </c>
      <c r="M148" s="26" t="s">
        <v>37</v>
      </c>
      <c r="N148" s="24" t="s">
        <v>1794</v>
      </c>
      <c r="O148" s="24" t="s">
        <v>1803</v>
      </c>
      <c r="P148" s="27"/>
      <c r="Q148" s="27"/>
      <c r="R148" s="28" t="s">
        <v>1804</v>
      </c>
      <c r="S148" s="8" t="s">
        <v>1805</v>
      </c>
      <c r="T148" s="29" t="e">
        <v>#N/A</v>
      </c>
      <c r="U148" s="21" t="s">
        <v>1798</v>
      </c>
    </row>
    <row r="149">
      <c r="A149" s="30">
        <v>7.290004532123E12</v>
      </c>
      <c r="B149" s="20" t="s">
        <v>1824</v>
      </c>
      <c r="C149" s="21">
        <v>0.12</v>
      </c>
      <c r="D149" s="21">
        <v>0.18</v>
      </c>
      <c r="E149" s="21">
        <v>0.03</v>
      </c>
      <c r="F149" s="22">
        <v>10.0</v>
      </c>
      <c r="G149" s="23"/>
      <c r="H149" s="24" t="s">
        <v>1789</v>
      </c>
      <c r="I149" s="21" t="s">
        <v>1790</v>
      </c>
      <c r="J149" s="24" t="s">
        <v>1825</v>
      </c>
      <c r="K149" s="21" t="s">
        <v>1826</v>
      </c>
      <c r="L149" s="25" t="s">
        <v>1827</v>
      </c>
      <c r="M149" s="26" t="s">
        <v>37</v>
      </c>
      <c r="N149" s="24" t="s">
        <v>1794</v>
      </c>
      <c r="O149" s="24" t="s">
        <v>1828</v>
      </c>
      <c r="P149" s="27"/>
      <c r="Q149" s="27"/>
      <c r="R149" s="28" t="s">
        <v>1829</v>
      </c>
      <c r="S149" s="8" t="s">
        <v>1830</v>
      </c>
      <c r="T149" s="29" t="e">
        <v>#N/A</v>
      </c>
      <c r="U149" s="21" t="s">
        <v>1798</v>
      </c>
    </row>
    <row r="150">
      <c r="A150" s="30">
        <v>7.29000014838E12</v>
      </c>
      <c r="B150" s="20" t="s">
        <v>2276</v>
      </c>
      <c r="C150" s="21">
        <v>0.14</v>
      </c>
      <c r="D150" s="21">
        <v>0.19</v>
      </c>
      <c r="E150" s="21">
        <v>0.02</v>
      </c>
      <c r="F150" s="22">
        <v>15.0</v>
      </c>
      <c r="G150" s="23"/>
      <c r="H150" s="24" t="s">
        <v>2197</v>
      </c>
      <c r="I150" s="21" t="s">
        <v>2198</v>
      </c>
      <c r="J150" s="24" t="s">
        <v>2277</v>
      </c>
      <c r="K150" s="21" t="s">
        <v>2278</v>
      </c>
      <c r="L150" s="25" t="s">
        <v>2279</v>
      </c>
      <c r="M150" s="26" t="s">
        <v>37</v>
      </c>
      <c r="N150" s="24" t="s">
        <v>1794</v>
      </c>
      <c r="O150" s="24" t="s">
        <v>1828</v>
      </c>
      <c r="P150" s="27"/>
      <c r="Q150" s="27"/>
      <c r="R150" s="28" t="s">
        <v>2280</v>
      </c>
      <c r="S150" s="8" t="s">
        <v>2281</v>
      </c>
      <c r="T150" s="29" t="e">
        <v>#N/A</v>
      </c>
      <c r="U150" s="21" t="s">
        <v>1798</v>
      </c>
    </row>
    <row r="151">
      <c r="A151" s="30">
        <v>7.290004532086E12</v>
      </c>
      <c r="B151" s="20" t="s">
        <v>1837</v>
      </c>
      <c r="C151" s="21">
        <v>0.12</v>
      </c>
      <c r="D151" s="21">
        <v>0.18</v>
      </c>
      <c r="E151" s="21">
        <v>0.03</v>
      </c>
      <c r="F151" s="22">
        <v>10.0</v>
      </c>
      <c r="G151" s="23"/>
      <c r="H151" s="24" t="s">
        <v>1789</v>
      </c>
      <c r="I151" s="21" t="s">
        <v>1790</v>
      </c>
      <c r="J151" s="24" t="s">
        <v>1838</v>
      </c>
      <c r="K151" s="21" t="s">
        <v>1839</v>
      </c>
      <c r="L151" s="25" t="s">
        <v>1840</v>
      </c>
      <c r="M151" s="26" t="s">
        <v>37</v>
      </c>
      <c r="N151" s="24" t="s">
        <v>1794</v>
      </c>
      <c r="O151" s="24" t="s">
        <v>1841</v>
      </c>
      <c r="P151" s="27"/>
      <c r="Q151" s="27"/>
      <c r="R151" s="31" t="s">
        <v>1842</v>
      </c>
      <c r="S151" s="33" t="s">
        <v>1843</v>
      </c>
      <c r="T151" s="29" t="e">
        <v>#N/A</v>
      </c>
      <c r="U151" s="21" t="s">
        <v>1798</v>
      </c>
    </row>
    <row r="152">
      <c r="A152" s="30">
        <v>7.290004532161E12</v>
      </c>
      <c r="B152" s="20" t="s">
        <v>1788</v>
      </c>
      <c r="C152" s="21">
        <v>0.12</v>
      </c>
      <c r="D152" s="21">
        <v>0.18</v>
      </c>
      <c r="E152" s="21">
        <v>0.03</v>
      </c>
      <c r="F152" s="22">
        <v>10.0</v>
      </c>
      <c r="G152" s="23"/>
      <c r="H152" s="24" t="s">
        <v>1789</v>
      </c>
      <c r="I152" s="21" t="s">
        <v>1790</v>
      </c>
      <c r="J152" s="24" t="s">
        <v>1791</v>
      </c>
      <c r="K152" s="21" t="s">
        <v>1792</v>
      </c>
      <c r="L152" s="25" t="s">
        <v>1793</v>
      </c>
      <c r="M152" s="26" t="s">
        <v>37</v>
      </c>
      <c r="N152" s="24" t="s">
        <v>1794</v>
      </c>
      <c r="O152" s="24" t="s">
        <v>1795</v>
      </c>
      <c r="P152" s="27"/>
      <c r="Q152" s="27"/>
      <c r="R152" s="28" t="s">
        <v>1796</v>
      </c>
      <c r="S152" s="8" t="s">
        <v>1797</v>
      </c>
      <c r="T152" s="29" t="e">
        <v>#N/A</v>
      </c>
      <c r="U152" s="21" t="s">
        <v>1798</v>
      </c>
    </row>
    <row r="153">
      <c r="A153" s="30">
        <v>7.290014241589E12</v>
      </c>
      <c r="B153" s="20" t="s">
        <v>1813</v>
      </c>
      <c r="C153" s="21">
        <v>0.12</v>
      </c>
      <c r="D153" s="21">
        <v>0.18</v>
      </c>
      <c r="E153" s="21">
        <v>0.03</v>
      </c>
      <c r="F153" s="22">
        <v>10.0</v>
      </c>
      <c r="G153" s="23"/>
      <c r="H153" s="24" t="s">
        <v>1789</v>
      </c>
      <c r="I153" s="21" t="s">
        <v>1790</v>
      </c>
      <c r="J153" s="24" t="s">
        <v>1814</v>
      </c>
      <c r="K153" s="21" t="s">
        <v>1815</v>
      </c>
      <c r="L153" s="25" t="s">
        <v>1816</v>
      </c>
      <c r="M153" s="26" t="s">
        <v>28</v>
      </c>
      <c r="N153" s="24" t="s">
        <v>1794</v>
      </c>
      <c r="O153" s="24" t="s">
        <v>1795</v>
      </c>
      <c r="P153" s="27"/>
      <c r="Q153" s="27"/>
      <c r="R153" s="28" t="s">
        <v>1817</v>
      </c>
      <c r="S153" s="8" t="s">
        <v>1816</v>
      </c>
      <c r="T153" s="29" t="s">
        <v>1790</v>
      </c>
      <c r="U153" s="21" t="s">
        <v>1798</v>
      </c>
    </row>
    <row r="154">
      <c r="A154" s="30">
        <v>7.290004532369E12</v>
      </c>
      <c r="B154" s="20" t="s">
        <v>1818</v>
      </c>
      <c r="C154" s="21">
        <v>0.12</v>
      </c>
      <c r="D154" s="21">
        <v>0.18</v>
      </c>
      <c r="E154" s="21">
        <v>0.03</v>
      </c>
      <c r="F154" s="22">
        <v>10.0</v>
      </c>
      <c r="G154" s="23"/>
      <c r="H154" s="24" t="s">
        <v>1789</v>
      </c>
      <c r="I154" s="21" t="s">
        <v>1790</v>
      </c>
      <c r="J154" s="24" t="s">
        <v>1819</v>
      </c>
      <c r="K154" s="21" t="s">
        <v>1820</v>
      </c>
      <c r="L154" s="25" t="s">
        <v>1821</v>
      </c>
      <c r="M154" s="26" t="s">
        <v>37</v>
      </c>
      <c r="N154" s="24" t="s">
        <v>1794</v>
      </c>
      <c r="O154" s="24" t="s">
        <v>1795</v>
      </c>
      <c r="P154" s="27"/>
      <c r="Q154" s="27"/>
      <c r="R154" s="28" t="s">
        <v>1822</v>
      </c>
      <c r="S154" s="8" t="s">
        <v>1823</v>
      </c>
      <c r="T154" s="29" t="e">
        <v>#N/A</v>
      </c>
      <c r="U154" s="21" t="s">
        <v>1798</v>
      </c>
    </row>
    <row r="155">
      <c r="A155" s="30">
        <v>7.29000816601E12</v>
      </c>
      <c r="B155" s="20" t="s">
        <v>1831</v>
      </c>
      <c r="C155" s="21">
        <v>0.12</v>
      </c>
      <c r="D155" s="21">
        <v>0.18</v>
      </c>
      <c r="E155" s="21">
        <v>0.03</v>
      </c>
      <c r="F155" s="22">
        <v>10.0</v>
      </c>
      <c r="G155" s="23"/>
      <c r="H155" s="24" t="s">
        <v>1789</v>
      </c>
      <c r="I155" s="21" t="s">
        <v>1790</v>
      </c>
      <c r="J155" s="24" t="s">
        <v>1832</v>
      </c>
      <c r="K155" s="21" t="s">
        <v>1833</v>
      </c>
      <c r="L155" s="25" t="s">
        <v>1834</v>
      </c>
      <c r="M155" s="26" t="s">
        <v>37</v>
      </c>
      <c r="N155" s="24" t="s">
        <v>1794</v>
      </c>
      <c r="O155" s="24" t="s">
        <v>1795</v>
      </c>
      <c r="P155" s="27"/>
      <c r="Q155" s="27"/>
      <c r="R155" s="28" t="s">
        <v>1835</v>
      </c>
      <c r="S155" s="8" t="s">
        <v>1836</v>
      </c>
      <c r="T155" s="29" t="e">
        <v>#N/A</v>
      </c>
      <c r="U155" s="21" t="s">
        <v>1798</v>
      </c>
    </row>
    <row r="156" hidden="1">
      <c r="A156" s="30">
        <v>7.290010237685E12</v>
      </c>
      <c r="B156" s="20" t="s">
        <v>1873</v>
      </c>
      <c r="C156" s="21">
        <v>0.06</v>
      </c>
      <c r="D156" s="21">
        <v>0.23</v>
      </c>
      <c r="E156" s="21">
        <v>0.06</v>
      </c>
      <c r="F156" s="22">
        <v>5.0</v>
      </c>
      <c r="G156" s="23"/>
      <c r="H156" s="24" t="s">
        <v>1865</v>
      </c>
      <c r="I156" s="21" t="s">
        <v>546</v>
      </c>
      <c r="J156" s="24" t="s">
        <v>1874</v>
      </c>
      <c r="K156" s="21" t="s">
        <v>1875</v>
      </c>
      <c r="L156" s="25" t="s">
        <v>1876</v>
      </c>
      <c r="M156" s="26" t="s">
        <v>28</v>
      </c>
      <c r="N156" s="24" t="s">
        <v>365</v>
      </c>
      <c r="O156" s="24" t="s">
        <v>536</v>
      </c>
      <c r="P156" s="27"/>
      <c r="Q156" s="27"/>
      <c r="R156" s="28" t="s">
        <v>1877</v>
      </c>
      <c r="S156" s="8" t="s">
        <v>1878</v>
      </c>
      <c r="T156" s="29" t="s">
        <v>546</v>
      </c>
      <c r="U156" s="24"/>
    </row>
    <row r="157" hidden="1">
      <c r="A157" s="30">
        <v>7.290008464604E12</v>
      </c>
      <c r="B157" s="20" t="s">
        <v>1879</v>
      </c>
      <c r="C157" s="21">
        <v>0.065</v>
      </c>
      <c r="D157" s="21">
        <v>0.17</v>
      </c>
      <c r="E157" s="21">
        <v>0.065</v>
      </c>
      <c r="F157" s="22">
        <v>5.0</v>
      </c>
      <c r="G157" s="23"/>
      <c r="H157" s="24" t="s">
        <v>1865</v>
      </c>
      <c r="I157" s="21" t="s">
        <v>546</v>
      </c>
      <c r="J157" s="24" t="s">
        <v>1880</v>
      </c>
      <c r="K157" s="21" t="s">
        <v>1881</v>
      </c>
      <c r="L157" s="25" t="s">
        <v>1882</v>
      </c>
      <c r="M157" s="26" t="s">
        <v>37</v>
      </c>
      <c r="N157" s="24" t="s">
        <v>365</v>
      </c>
      <c r="O157" s="24" t="s">
        <v>543</v>
      </c>
      <c r="P157" s="27"/>
      <c r="Q157" s="27"/>
      <c r="R157" s="31" t="s">
        <v>1883</v>
      </c>
      <c r="S157" s="33" t="s">
        <v>1884</v>
      </c>
      <c r="T157" s="29" t="e">
        <v>#N/A</v>
      </c>
      <c r="U157" s="24"/>
    </row>
    <row r="158" hidden="1">
      <c r="A158" s="30">
        <v>8.712000050146E12</v>
      </c>
      <c r="B158" s="20" t="s">
        <v>1864</v>
      </c>
      <c r="C158" s="21">
        <v>0.06</v>
      </c>
      <c r="D158" s="21">
        <v>0.23</v>
      </c>
      <c r="E158" s="21">
        <v>0.06</v>
      </c>
      <c r="F158" s="22">
        <v>5.0</v>
      </c>
      <c r="G158" s="23"/>
      <c r="H158" s="24" t="s">
        <v>1865</v>
      </c>
      <c r="I158" s="21" t="s">
        <v>546</v>
      </c>
      <c r="J158" s="24" t="s">
        <v>1866</v>
      </c>
      <c r="K158" s="21" t="s">
        <v>1867</v>
      </c>
      <c r="L158" s="25" t="s">
        <v>1868</v>
      </c>
      <c r="M158" s="26" t="s">
        <v>28</v>
      </c>
      <c r="N158" s="24" t="s">
        <v>1869</v>
      </c>
      <c r="O158" s="24" t="s">
        <v>1870</v>
      </c>
      <c r="P158" s="27"/>
      <c r="Q158" s="27"/>
      <c r="R158" s="31" t="s">
        <v>1871</v>
      </c>
      <c r="S158" s="33" t="s">
        <v>1872</v>
      </c>
      <c r="T158" s="29" t="s">
        <v>546</v>
      </c>
      <c r="U158" s="24"/>
    </row>
    <row r="159" hidden="1">
      <c r="A159" s="30">
        <v>8.0176732E7</v>
      </c>
      <c r="B159" s="20" t="s">
        <v>1766</v>
      </c>
      <c r="C159" s="21">
        <v>0.045</v>
      </c>
      <c r="D159" s="21">
        <v>0.09</v>
      </c>
      <c r="E159" s="21">
        <v>0.02</v>
      </c>
      <c r="F159" s="22">
        <v>15.0</v>
      </c>
      <c r="G159" s="23"/>
      <c r="H159" s="24" t="s">
        <v>1767</v>
      </c>
      <c r="I159" s="21" t="s">
        <v>1768</v>
      </c>
      <c r="J159" s="24" t="s">
        <v>1769</v>
      </c>
      <c r="K159" s="21" t="s">
        <v>1770</v>
      </c>
      <c r="L159" s="25" t="s">
        <v>1771</v>
      </c>
      <c r="M159" s="26" t="s">
        <v>28</v>
      </c>
      <c r="N159" s="24" t="s">
        <v>1772</v>
      </c>
      <c r="O159" s="24" t="s">
        <v>1773</v>
      </c>
      <c r="P159" s="27"/>
      <c r="Q159" s="27"/>
      <c r="R159" s="28" t="s">
        <v>1774</v>
      </c>
      <c r="S159" s="8" t="s">
        <v>1775</v>
      </c>
      <c r="T159" s="29" t="s">
        <v>1776</v>
      </c>
      <c r="U159" s="24"/>
    </row>
    <row r="160" hidden="1">
      <c r="A160" s="30">
        <v>43814.0</v>
      </c>
      <c r="B160" s="20" t="s">
        <v>1777</v>
      </c>
      <c r="C160" s="21">
        <v>0.07</v>
      </c>
      <c r="D160" s="21">
        <v>0.09</v>
      </c>
      <c r="E160" s="21">
        <v>0.07</v>
      </c>
      <c r="F160" s="22">
        <v>4.0</v>
      </c>
      <c r="G160" s="23"/>
      <c r="H160" s="24" t="s">
        <v>1778</v>
      </c>
      <c r="I160" s="21" t="s">
        <v>1779</v>
      </c>
      <c r="J160" s="24" t="s">
        <v>1780</v>
      </c>
      <c r="K160" s="21" t="s">
        <v>1781</v>
      </c>
      <c r="L160" s="25" t="s">
        <v>1782</v>
      </c>
      <c r="M160" s="26" t="s">
        <v>28</v>
      </c>
      <c r="N160" s="24" t="s">
        <v>1783</v>
      </c>
      <c r="O160" s="24" t="s">
        <v>1784</v>
      </c>
      <c r="P160" s="27"/>
      <c r="Q160" s="27"/>
      <c r="R160" s="28" t="s">
        <v>1785</v>
      </c>
      <c r="S160" s="8" t="s">
        <v>1786</v>
      </c>
      <c r="T160" s="29" t="s">
        <v>1787</v>
      </c>
      <c r="U160" s="24"/>
    </row>
    <row r="161" hidden="1">
      <c r="A161" s="30">
        <v>8.690526019178E12</v>
      </c>
      <c r="B161" s="20" t="s">
        <v>4854</v>
      </c>
      <c r="C161" s="21">
        <v>0.245</v>
      </c>
      <c r="D161" s="21">
        <v>0.085</v>
      </c>
      <c r="E161" s="21">
        <v>0.02</v>
      </c>
      <c r="F161" s="22">
        <v>15.0</v>
      </c>
      <c r="G161" s="23"/>
      <c r="H161" s="24" t="s">
        <v>4821</v>
      </c>
      <c r="I161" s="21" t="s">
        <v>4822</v>
      </c>
      <c r="J161" s="24" t="s">
        <v>4855</v>
      </c>
      <c r="K161" s="21" t="s">
        <v>4856</v>
      </c>
      <c r="L161" s="25" t="s">
        <v>4857</v>
      </c>
      <c r="M161" s="26" t="s">
        <v>28</v>
      </c>
      <c r="N161" s="24" t="s">
        <v>185</v>
      </c>
      <c r="O161" s="24" t="s">
        <v>195</v>
      </c>
      <c r="P161" s="27"/>
      <c r="Q161" s="27"/>
      <c r="R161" s="28" t="s">
        <v>4858</v>
      </c>
      <c r="S161" s="8" t="s">
        <v>4859</v>
      </c>
      <c r="T161" s="29" t="s">
        <v>4822</v>
      </c>
      <c r="U161" s="24"/>
    </row>
    <row r="162" hidden="1">
      <c r="A162" s="30">
        <v>8.690526019154E12</v>
      </c>
      <c r="B162" s="20" t="s">
        <v>4848</v>
      </c>
      <c r="C162" s="21">
        <v>0.245</v>
      </c>
      <c r="D162" s="21">
        <v>0.085</v>
      </c>
      <c r="E162" s="21">
        <v>0.02</v>
      </c>
      <c r="F162" s="22">
        <v>15.0</v>
      </c>
      <c r="G162" s="23"/>
      <c r="H162" s="24" t="s">
        <v>4821</v>
      </c>
      <c r="I162" s="21" t="s">
        <v>4822</v>
      </c>
      <c r="J162" s="24" t="s">
        <v>4849</v>
      </c>
      <c r="K162" s="21" t="s">
        <v>4850</v>
      </c>
      <c r="L162" s="25" t="s">
        <v>4851</v>
      </c>
      <c r="M162" s="26" t="s">
        <v>28</v>
      </c>
      <c r="N162" s="24" t="s">
        <v>185</v>
      </c>
      <c r="O162" s="24" t="s">
        <v>195</v>
      </c>
      <c r="P162" s="27"/>
      <c r="Q162" s="27"/>
      <c r="R162" s="28" t="s">
        <v>4852</v>
      </c>
      <c r="S162" s="8" t="s">
        <v>4853</v>
      </c>
      <c r="T162" s="29" t="s">
        <v>4822</v>
      </c>
      <c r="U162" s="24"/>
    </row>
    <row r="163" hidden="1">
      <c r="A163" s="30">
        <v>8.690526009179E12</v>
      </c>
      <c r="B163" s="20" t="s">
        <v>4860</v>
      </c>
      <c r="C163" s="21">
        <v>0.11</v>
      </c>
      <c r="D163" s="21">
        <v>0.055</v>
      </c>
      <c r="E163" s="21">
        <v>0.02</v>
      </c>
      <c r="F163" s="22">
        <v>15.0</v>
      </c>
      <c r="G163" s="23"/>
      <c r="H163" s="24" t="s">
        <v>4821</v>
      </c>
      <c r="I163" s="21" t="s">
        <v>4822</v>
      </c>
      <c r="J163" s="24" t="s">
        <v>4861</v>
      </c>
      <c r="K163" s="21" t="s">
        <v>4862</v>
      </c>
      <c r="L163" s="25" t="s">
        <v>4863</v>
      </c>
      <c r="M163" s="26" t="s">
        <v>28</v>
      </c>
      <c r="N163" s="24" t="s">
        <v>501</v>
      </c>
      <c r="O163" s="24" t="s">
        <v>502</v>
      </c>
      <c r="P163" s="27"/>
      <c r="Q163" s="27"/>
      <c r="R163" s="28" t="s">
        <v>4864</v>
      </c>
      <c r="S163" s="8" t="s">
        <v>4865</v>
      </c>
      <c r="T163" s="29" t="s">
        <v>4828</v>
      </c>
      <c r="U163" s="24"/>
    </row>
    <row r="164" hidden="1">
      <c r="A164" s="30">
        <v>8.690526009292E12</v>
      </c>
      <c r="B164" s="20" t="s">
        <v>4829</v>
      </c>
      <c r="C164" s="21">
        <v>0.11</v>
      </c>
      <c r="D164" s="21">
        <v>0.045</v>
      </c>
      <c r="E164" s="21">
        <v>0.02</v>
      </c>
      <c r="F164" s="22">
        <v>15.0</v>
      </c>
      <c r="G164" s="23"/>
      <c r="H164" s="24" t="s">
        <v>4821</v>
      </c>
      <c r="I164" s="21" t="s">
        <v>4822</v>
      </c>
      <c r="J164" s="24" t="s">
        <v>4830</v>
      </c>
      <c r="K164" s="21" t="s">
        <v>4831</v>
      </c>
      <c r="L164" s="25" t="s">
        <v>4832</v>
      </c>
      <c r="M164" s="26" t="s">
        <v>28</v>
      </c>
      <c r="N164" s="24" t="s">
        <v>501</v>
      </c>
      <c r="O164" s="24" t="s">
        <v>502</v>
      </c>
      <c r="P164" s="27"/>
      <c r="Q164" s="27"/>
      <c r="R164" s="31" t="s">
        <v>4833</v>
      </c>
      <c r="S164" s="33" t="s">
        <v>4834</v>
      </c>
      <c r="T164" s="29" t="s">
        <v>4828</v>
      </c>
      <c r="U164" s="24"/>
    </row>
    <row r="165" hidden="1">
      <c r="A165" s="30">
        <v>8.690526009216E12</v>
      </c>
      <c r="B165" s="20" t="s">
        <v>4820</v>
      </c>
      <c r="C165" s="21">
        <v>0.04</v>
      </c>
      <c r="D165" s="21">
        <v>0.115</v>
      </c>
      <c r="E165" s="21">
        <v>0.03</v>
      </c>
      <c r="F165" s="22">
        <v>10.0</v>
      </c>
      <c r="G165" s="23"/>
      <c r="H165" s="24" t="s">
        <v>4821</v>
      </c>
      <c r="I165" s="21" t="s">
        <v>4822</v>
      </c>
      <c r="J165" s="24" t="s">
        <v>4823</v>
      </c>
      <c r="K165" s="21" t="s">
        <v>4824</v>
      </c>
      <c r="L165" s="25" t="s">
        <v>4825</v>
      </c>
      <c r="M165" s="26" t="s">
        <v>28</v>
      </c>
      <c r="N165" s="24" t="s">
        <v>501</v>
      </c>
      <c r="O165" s="24" t="s">
        <v>502</v>
      </c>
      <c r="P165" s="27"/>
      <c r="Q165" s="27"/>
      <c r="R165" s="31" t="s">
        <v>4826</v>
      </c>
      <c r="S165" s="33" t="s">
        <v>4827</v>
      </c>
      <c r="T165" s="29" t="s">
        <v>4828</v>
      </c>
      <c r="U165" s="24"/>
    </row>
    <row r="166" hidden="1">
      <c r="A166" s="30">
        <v>8.690526009315E12</v>
      </c>
      <c r="B166" s="20" t="s">
        <v>4835</v>
      </c>
      <c r="C166" s="21">
        <v>0.085</v>
      </c>
      <c r="D166" s="21">
        <v>0.087</v>
      </c>
      <c r="E166" s="21">
        <v>0.01</v>
      </c>
      <c r="F166" s="22">
        <v>30.0</v>
      </c>
      <c r="G166" s="23"/>
      <c r="H166" s="24" t="s">
        <v>4821</v>
      </c>
      <c r="I166" s="21" t="s">
        <v>4822</v>
      </c>
      <c r="J166" s="24" t="s">
        <v>4836</v>
      </c>
      <c r="K166" s="21" t="s">
        <v>4837</v>
      </c>
      <c r="L166" s="25" t="s">
        <v>4838</v>
      </c>
      <c r="M166" s="26" t="s">
        <v>28</v>
      </c>
      <c r="N166" s="24" t="s">
        <v>1484</v>
      </c>
      <c r="O166" s="24" t="s">
        <v>1498</v>
      </c>
      <c r="P166" s="27"/>
      <c r="Q166" s="27"/>
      <c r="R166" s="28" t="s">
        <v>4839</v>
      </c>
      <c r="S166" s="8" t="s">
        <v>4840</v>
      </c>
      <c r="T166" s="29" t="s">
        <v>4841</v>
      </c>
      <c r="U166" s="24"/>
    </row>
    <row r="167" hidden="1">
      <c r="A167" s="30">
        <v>8.690526009339E12</v>
      </c>
      <c r="B167" s="20" t="s">
        <v>4842</v>
      </c>
      <c r="C167" s="21">
        <v>0.085</v>
      </c>
      <c r="D167" s="21">
        <v>0.087</v>
      </c>
      <c r="E167" s="21">
        <v>0.01</v>
      </c>
      <c r="F167" s="22">
        <v>30.0</v>
      </c>
      <c r="G167" s="23"/>
      <c r="H167" s="24" t="s">
        <v>4821</v>
      </c>
      <c r="I167" s="21" t="s">
        <v>4822</v>
      </c>
      <c r="J167" s="24" t="s">
        <v>4843</v>
      </c>
      <c r="K167" s="21" t="s">
        <v>4844</v>
      </c>
      <c r="L167" s="25" t="s">
        <v>4845</v>
      </c>
      <c r="M167" s="26" t="s">
        <v>28</v>
      </c>
      <c r="N167" s="24" t="s">
        <v>1484</v>
      </c>
      <c r="O167" s="24" t="s">
        <v>1498</v>
      </c>
      <c r="P167" s="27"/>
      <c r="Q167" s="27"/>
      <c r="R167" s="28" t="s">
        <v>4846</v>
      </c>
      <c r="S167" s="8" t="s">
        <v>4847</v>
      </c>
      <c r="T167" s="29" t="s">
        <v>4841</v>
      </c>
      <c r="U167" s="24"/>
    </row>
    <row r="168" hidden="1">
      <c r="A168" s="30">
        <v>7.610046000822E12</v>
      </c>
      <c r="B168" s="20" t="s">
        <v>2031</v>
      </c>
      <c r="C168" s="21">
        <v>0.14</v>
      </c>
      <c r="D168" s="21">
        <v>0.048</v>
      </c>
      <c r="E168" s="21">
        <v>0.013</v>
      </c>
      <c r="F168" s="22">
        <v>23.0</v>
      </c>
      <c r="G168" s="23"/>
      <c r="H168" s="24" t="s">
        <v>2022</v>
      </c>
      <c r="I168" s="21" t="s">
        <v>2023</v>
      </c>
      <c r="J168" s="24" t="s">
        <v>2032</v>
      </c>
      <c r="K168" s="21" t="s">
        <v>2033</v>
      </c>
      <c r="L168" s="25" t="s">
        <v>2034</v>
      </c>
      <c r="M168" s="26" t="s">
        <v>28</v>
      </c>
      <c r="N168" s="24" t="s">
        <v>2027</v>
      </c>
      <c r="O168" s="24" t="s">
        <v>2028</v>
      </c>
      <c r="P168" s="27"/>
      <c r="Q168" s="27"/>
      <c r="R168" s="28" t="s">
        <v>2035</v>
      </c>
      <c r="S168" s="8" t="s">
        <v>2036</v>
      </c>
      <c r="T168" s="29" t="s">
        <v>2023</v>
      </c>
      <c r="U168" s="24"/>
    </row>
    <row r="169" hidden="1">
      <c r="A169" s="30">
        <v>7.610046000808E12</v>
      </c>
      <c r="B169" s="20" t="s">
        <v>2021</v>
      </c>
      <c r="C169" s="21">
        <v>0.14</v>
      </c>
      <c r="D169" s="21">
        <v>0.048</v>
      </c>
      <c r="E169" s="21">
        <v>0.013</v>
      </c>
      <c r="F169" s="22">
        <v>23.0</v>
      </c>
      <c r="G169" s="23"/>
      <c r="H169" s="24" t="s">
        <v>2022</v>
      </c>
      <c r="I169" s="21" t="s">
        <v>2023</v>
      </c>
      <c r="J169" s="24" t="s">
        <v>2024</v>
      </c>
      <c r="K169" s="21" t="s">
        <v>2025</v>
      </c>
      <c r="L169" s="25" t="s">
        <v>2026</v>
      </c>
      <c r="M169" s="26" t="s">
        <v>28</v>
      </c>
      <c r="N169" s="24" t="s">
        <v>2027</v>
      </c>
      <c r="O169" s="24" t="s">
        <v>2028</v>
      </c>
      <c r="P169" s="27"/>
      <c r="Q169" s="27"/>
      <c r="R169" s="28" t="s">
        <v>2029</v>
      </c>
      <c r="S169" s="8" t="s">
        <v>2030</v>
      </c>
      <c r="T169" s="29" t="s">
        <v>2023</v>
      </c>
      <c r="U169" s="24"/>
    </row>
    <row r="170" hidden="1">
      <c r="A170" s="30">
        <v>4.014400914696E12</v>
      </c>
      <c r="B170" s="20" t="s">
        <v>4866</v>
      </c>
      <c r="C170" s="21">
        <v>0.118</v>
      </c>
      <c r="D170" s="21">
        <v>0.185</v>
      </c>
      <c r="E170" s="21">
        <v>0.023</v>
      </c>
      <c r="F170" s="22">
        <v>13.0</v>
      </c>
      <c r="G170" s="23"/>
      <c r="H170" s="24" t="s">
        <v>4867</v>
      </c>
      <c r="I170" s="21" t="s">
        <v>4868</v>
      </c>
      <c r="J170" s="24" t="s">
        <v>4869</v>
      </c>
      <c r="K170" s="21" t="s">
        <v>4870</v>
      </c>
      <c r="L170" s="25" t="s">
        <v>4871</v>
      </c>
      <c r="M170" s="26" t="s">
        <v>28</v>
      </c>
      <c r="N170" s="24" t="s">
        <v>2611</v>
      </c>
      <c r="O170" s="24" t="s">
        <v>2886</v>
      </c>
      <c r="P170" s="27"/>
      <c r="Q170" s="27"/>
      <c r="R170" s="28" t="s">
        <v>4872</v>
      </c>
      <c r="S170" s="8" t="s">
        <v>4873</v>
      </c>
      <c r="T170" s="29" t="s">
        <v>4868</v>
      </c>
      <c r="U170" s="24"/>
    </row>
    <row r="171" hidden="1">
      <c r="A171" s="30">
        <v>4.014400925319E12</v>
      </c>
      <c r="B171" s="20" t="s">
        <v>4874</v>
      </c>
      <c r="C171" s="21">
        <v>0.145</v>
      </c>
      <c r="D171" s="21">
        <v>0.215</v>
      </c>
      <c r="E171" s="21">
        <v>0.06</v>
      </c>
      <c r="F171" s="22">
        <v>5.0</v>
      </c>
      <c r="G171" s="23"/>
      <c r="H171" s="24" t="s">
        <v>4867</v>
      </c>
      <c r="I171" s="21" t="s">
        <v>4868</v>
      </c>
      <c r="J171" s="24" t="s">
        <v>4875</v>
      </c>
      <c r="K171" s="21" t="s">
        <v>4876</v>
      </c>
      <c r="L171" s="25" t="s">
        <v>4877</v>
      </c>
      <c r="M171" s="26" t="s">
        <v>28</v>
      </c>
      <c r="N171" s="24" t="s">
        <v>109</v>
      </c>
      <c r="O171" s="24" t="s">
        <v>3526</v>
      </c>
      <c r="P171" s="27"/>
      <c r="Q171" s="27"/>
      <c r="R171" s="28" t="s">
        <v>4878</v>
      </c>
      <c r="S171" s="8" t="s">
        <v>4877</v>
      </c>
      <c r="T171" s="29" t="s">
        <v>4868</v>
      </c>
      <c r="U171" s="21" t="s">
        <v>113</v>
      </c>
    </row>
    <row r="172" hidden="1">
      <c r="A172" s="30">
        <v>7.290000347738E12</v>
      </c>
      <c r="B172" s="20" t="s">
        <v>5185</v>
      </c>
      <c r="C172" s="21">
        <v>0.068</v>
      </c>
      <c r="D172" s="21">
        <v>0.144</v>
      </c>
      <c r="E172" s="21">
        <v>0.064</v>
      </c>
      <c r="F172" s="22">
        <v>5.0</v>
      </c>
      <c r="G172" s="23"/>
      <c r="H172" s="24" t="s">
        <v>4887</v>
      </c>
      <c r="I172" s="21" t="s">
        <v>4910</v>
      </c>
      <c r="J172" s="24" t="s">
        <v>4904</v>
      </c>
      <c r="K172" s="21" t="s">
        <v>4905</v>
      </c>
      <c r="L172" s="25" t="s">
        <v>4906</v>
      </c>
      <c r="M172" s="26" t="s">
        <v>37</v>
      </c>
      <c r="N172" s="24" t="s">
        <v>4892</v>
      </c>
      <c r="O172" s="24" t="s">
        <v>4892</v>
      </c>
      <c r="P172" s="27"/>
      <c r="Q172" s="27"/>
      <c r="R172" s="28" t="s">
        <v>4907</v>
      </c>
      <c r="S172" s="8" t="s">
        <v>4908</v>
      </c>
      <c r="T172" s="29" t="e">
        <v>#N/A</v>
      </c>
      <c r="U172" s="24"/>
    </row>
    <row r="173" hidden="1">
      <c r="A173" s="30">
        <v>7.290000347752E12</v>
      </c>
      <c r="B173" s="20" t="s">
        <v>5186</v>
      </c>
      <c r="C173" s="21">
        <v>0.144</v>
      </c>
      <c r="D173" s="21">
        <v>0.0685</v>
      </c>
      <c r="E173" s="21">
        <v>0.064</v>
      </c>
      <c r="F173" s="22">
        <v>5.0</v>
      </c>
      <c r="G173" s="23"/>
      <c r="H173" s="24" t="s">
        <v>4887</v>
      </c>
      <c r="I173" s="21" t="s">
        <v>4910</v>
      </c>
      <c r="J173" s="24" t="s">
        <v>4897</v>
      </c>
      <c r="K173" s="21" t="s">
        <v>4898</v>
      </c>
      <c r="L173" s="25" t="s">
        <v>4899</v>
      </c>
      <c r="M173" s="26" t="s">
        <v>37</v>
      </c>
      <c r="N173" s="24" t="s">
        <v>4892</v>
      </c>
      <c r="O173" s="24" t="s">
        <v>4892</v>
      </c>
      <c r="P173" s="27"/>
      <c r="Q173" s="27"/>
      <c r="R173" s="28" t="s">
        <v>4900</v>
      </c>
      <c r="S173" s="8" t="s">
        <v>4901</v>
      </c>
      <c r="T173" s="29" t="e">
        <v>#N/A</v>
      </c>
      <c r="U173" s="24"/>
    </row>
    <row r="174" hidden="1">
      <c r="A174" s="30">
        <v>7.29000034526E12</v>
      </c>
      <c r="B174" s="20" t="s">
        <v>5187</v>
      </c>
      <c r="C174" s="21">
        <v>0.145</v>
      </c>
      <c r="D174" s="21">
        <v>0.07</v>
      </c>
      <c r="E174" s="21">
        <v>0.065</v>
      </c>
      <c r="F174" s="22">
        <v>5.0</v>
      </c>
      <c r="G174" s="23"/>
      <c r="H174" s="24" t="s">
        <v>4887</v>
      </c>
      <c r="I174" s="21" t="s">
        <v>4910</v>
      </c>
      <c r="J174" s="24" t="s">
        <v>4889</v>
      </c>
      <c r="K174" s="21" t="s">
        <v>4890</v>
      </c>
      <c r="L174" s="25" t="s">
        <v>4891</v>
      </c>
      <c r="M174" s="26" t="s">
        <v>37</v>
      </c>
      <c r="N174" s="24" t="s">
        <v>4892</v>
      </c>
      <c r="O174" s="24" t="s">
        <v>4892</v>
      </c>
      <c r="P174" s="27"/>
      <c r="Q174" s="27"/>
      <c r="R174" s="28" t="s">
        <v>4893</v>
      </c>
      <c r="S174" s="8" t="s">
        <v>4894</v>
      </c>
      <c r="T174" s="29" t="e">
        <v>#N/A</v>
      </c>
      <c r="U174" s="24"/>
    </row>
    <row r="175" hidden="1">
      <c r="A175" s="30">
        <v>7.290013586285E12</v>
      </c>
      <c r="B175" s="20" t="s">
        <v>4916</v>
      </c>
      <c r="C175" s="21">
        <v>0.073</v>
      </c>
      <c r="D175" s="21">
        <v>0.195</v>
      </c>
      <c r="E175" s="21">
        <v>0.057</v>
      </c>
      <c r="F175" s="22">
        <v>5.0</v>
      </c>
      <c r="G175" s="23"/>
      <c r="H175" s="24" t="s">
        <v>4887</v>
      </c>
      <c r="I175" s="21" t="s">
        <v>4910</v>
      </c>
      <c r="J175" s="24" t="s">
        <v>4917</v>
      </c>
      <c r="K175" s="21" t="s">
        <v>4918</v>
      </c>
      <c r="L175" s="25" t="s">
        <v>4919</v>
      </c>
      <c r="M175" s="26" t="s">
        <v>28</v>
      </c>
      <c r="N175" s="24" t="s">
        <v>149</v>
      </c>
      <c r="O175" s="24" t="s">
        <v>150</v>
      </c>
      <c r="P175" s="27"/>
      <c r="Q175" s="27"/>
      <c r="R175" s="28" t="s">
        <v>4920</v>
      </c>
      <c r="S175" s="8" t="s">
        <v>4921</v>
      </c>
      <c r="T175" s="29" t="s">
        <v>4910</v>
      </c>
      <c r="U175" s="24"/>
    </row>
    <row r="176" hidden="1">
      <c r="A176" s="30">
        <v>7.290013585899E12</v>
      </c>
      <c r="B176" s="20" t="s">
        <v>4909</v>
      </c>
      <c r="C176" s="21">
        <v>0.073</v>
      </c>
      <c r="D176" s="21">
        <v>0.195</v>
      </c>
      <c r="E176" s="21">
        <v>0.057</v>
      </c>
      <c r="F176" s="22">
        <v>5.0</v>
      </c>
      <c r="G176" s="23"/>
      <c r="H176" s="24" t="s">
        <v>4887</v>
      </c>
      <c r="I176" s="21" t="s">
        <v>4910</v>
      </c>
      <c r="J176" s="24" t="s">
        <v>4911</v>
      </c>
      <c r="K176" s="21" t="s">
        <v>4912</v>
      </c>
      <c r="L176" s="25" t="s">
        <v>4913</v>
      </c>
      <c r="M176" s="26" t="s">
        <v>28</v>
      </c>
      <c r="N176" s="24" t="s">
        <v>149</v>
      </c>
      <c r="O176" s="24" t="s">
        <v>150</v>
      </c>
      <c r="P176" s="27"/>
      <c r="Q176" s="27"/>
      <c r="R176" s="28" t="s">
        <v>4914</v>
      </c>
      <c r="S176" s="8" t="s">
        <v>4915</v>
      </c>
      <c r="T176" s="29" t="s">
        <v>4910</v>
      </c>
      <c r="U176" s="24"/>
    </row>
    <row r="177" hidden="1">
      <c r="A177" s="30">
        <v>7.29000159452E12</v>
      </c>
      <c r="B177" s="20" t="s">
        <v>4778</v>
      </c>
      <c r="C177" s="21">
        <v>0.06</v>
      </c>
      <c r="D177" s="21">
        <v>0.228</v>
      </c>
      <c r="E177" s="21">
        <v>0.06</v>
      </c>
      <c r="F177" s="22">
        <v>5.0</v>
      </c>
      <c r="G177" s="23"/>
      <c r="H177" s="24" t="s">
        <v>4779</v>
      </c>
      <c r="I177" s="21" t="s">
        <v>4780</v>
      </c>
      <c r="J177" s="24" t="s">
        <v>4781</v>
      </c>
      <c r="K177" s="21" t="s">
        <v>4782</v>
      </c>
      <c r="L177" s="25" t="s">
        <v>4783</v>
      </c>
      <c r="M177" s="26" t="s">
        <v>37</v>
      </c>
      <c r="N177" s="24" t="s">
        <v>365</v>
      </c>
      <c r="O177" s="24" t="s">
        <v>536</v>
      </c>
      <c r="P177" s="27"/>
      <c r="Q177" s="27"/>
      <c r="R177" s="28" t="s">
        <v>4784</v>
      </c>
      <c r="S177" s="8" t="s">
        <v>4785</v>
      </c>
      <c r="T177" s="29" t="e">
        <v>#N/A</v>
      </c>
      <c r="U177" s="24"/>
    </row>
    <row r="178" hidden="1">
      <c r="A178" s="30">
        <v>7.290001594575E12</v>
      </c>
      <c r="B178" s="20" t="s">
        <v>4786</v>
      </c>
      <c r="C178" s="21">
        <v>0.065</v>
      </c>
      <c r="D178" s="21">
        <v>0.17</v>
      </c>
      <c r="E178" s="21">
        <v>0.06</v>
      </c>
      <c r="F178" s="22">
        <v>5.0</v>
      </c>
      <c r="G178" s="23"/>
      <c r="H178" s="24" t="s">
        <v>4779</v>
      </c>
      <c r="I178" s="21" t="s">
        <v>4780</v>
      </c>
      <c r="J178" s="24" t="s">
        <v>4787</v>
      </c>
      <c r="K178" s="21" t="s">
        <v>4788</v>
      </c>
      <c r="L178" s="25" t="s">
        <v>4789</v>
      </c>
      <c r="M178" s="26" t="s">
        <v>37</v>
      </c>
      <c r="N178" s="24" t="s">
        <v>365</v>
      </c>
      <c r="O178" s="24" t="s">
        <v>543</v>
      </c>
      <c r="P178" s="27"/>
      <c r="Q178" s="27"/>
      <c r="R178" s="31" t="s">
        <v>4790</v>
      </c>
      <c r="S178" s="33" t="s">
        <v>4791</v>
      </c>
      <c r="T178" s="29" t="e">
        <v>#N/A</v>
      </c>
      <c r="U178" s="24"/>
    </row>
    <row r="179" hidden="1">
      <c r="A179" s="30">
        <v>7.2918388E7</v>
      </c>
      <c r="B179" s="20" t="s">
        <v>4792</v>
      </c>
      <c r="C179" s="21">
        <v>0.12</v>
      </c>
      <c r="D179" s="21">
        <v>0.035</v>
      </c>
      <c r="E179" s="21">
        <v>0.02</v>
      </c>
      <c r="F179" s="22">
        <v>15.0</v>
      </c>
      <c r="G179" s="23"/>
      <c r="H179" s="24" t="s">
        <v>4793</v>
      </c>
      <c r="I179" s="21" t="s">
        <v>4794</v>
      </c>
      <c r="J179" s="24" t="s">
        <v>4795</v>
      </c>
      <c r="K179" s="21" t="s">
        <v>4796</v>
      </c>
      <c r="L179" s="25" t="s">
        <v>4797</v>
      </c>
      <c r="M179" s="26" t="s">
        <v>28</v>
      </c>
      <c r="N179" s="24" t="s">
        <v>501</v>
      </c>
      <c r="O179" s="24" t="s">
        <v>502</v>
      </c>
      <c r="P179" s="27"/>
      <c r="Q179" s="27"/>
      <c r="R179" s="31" t="s">
        <v>4798</v>
      </c>
      <c r="S179" s="33" t="s">
        <v>4799</v>
      </c>
      <c r="T179" s="29" t="s">
        <v>4794</v>
      </c>
      <c r="U179" s="24"/>
    </row>
    <row r="180" hidden="1">
      <c r="A180" s="30">
        <v>5.000159459228E12</v>
      </c>
      <c r="B180" s="20" t="s">
        <v>4800</v>
      </c>
      <c r="C180" s="21">
        <v>0.12</v>
      </c>
      <c r="D180" s="21">
        <v>0.045</v>
      </c>
      <c r="E180" s="21">
        <v>0.02</v>
      </c>
      <c r="F180" s="22">
        <v>15.0</v>
      </c>
      <c r="G180" s="23"/>
      <c r="H180" s="24" t="s">
        <v>4801</v>
      </c>
      <c r="I180" s="21" t="s">
        <v>4802</v>
      </c>
      <c r="J180" s="24" t="s">
        <v>4803</v>
      </c>
      <c r="K180" s="21" t="s">
        <v>4804</v>
      </c>
      <c r="L180" s="25" t="s">
        <v>4805</v>
      </c>
      <c r="M180" s="26" t="s">
        <v>28</v>
      </c>
      <c r="N180" s="24" t="s">
        <v>501</v>
      </c>
      <c r="O180" s="24" t="s">
        <v>502</v>
      </c>
      <c r="P180" s="27"/>
      <c r="Q180" s="27"/>
      <c r="R180" s="31" t="s">
        <v>4806</v>
      </c>
      <c r="S180" s="8" t="s">
        <v>4807</v>
      </c>
      <c r="T180" s="29" t="s">
        <v>4808</v>
      </c>
      <c r="U180" s="24"/>
    </row>
    <row r="181" hidden="1">
      <c r="A181" s="30">
        <v>7.290106656512E12</v>
      </c>
      <c r="B181" s="20" t="s">
        <v>5188</v>
      </c>
      <c r="C181" s="21">
        <v>0.15</v>
      </c>
      <c r="D181" s="21">
        <v>0.23</v>
      </c>
      <c r="E181" s="21">
        <v>0.035</v>
      </c>
      <c r="F181" s="22">
        <v>9.0</v>
      </c>
      <c r="G181" s="23"/>
      <c r="H181" s="32" t="s">
        <v>230</v>
      </c>
      <c r="I181" s="34" t="s">
        <v>189</v>
      </c>
      <c r="J181" s="24" t="s">
        <v>182</v>
      </c>
      <c r="K181" s="21" t="s">
        <v>183</v>
      </c>
      <c r="L181" s="25" t="s">
        <v>184</v>
      </c>
      <c r="M181" s="26" t="s">
        <v>28</v>
      </c>
      <c r="N181" s="24" t="s">
        <v>185</v>
      </c>
      <c r="O181" s="24" t="s">
        <v>186</v>
      </c>
      <c r="P181" s="27"/>
      <c r="Q181" s="27"/>
      <c r="R181" s="28" t="s">
        <v>187</v>
      </c>
      <c r="S181" s="8" t="s">
        <v>188</v>
      </c>
      <c r="T181" s="29" t="s">
        <v>189</v>
      </c>
      <c r="U181" s="24"/>
    </row>
    <row r="182" hidden="1">
      <c r="A182" s="30">
        <v>7.290107943048E12</v>
      </c>
      <c r="B182" s="20" t="s">
        <v>229</v>
      </c>
      <c r="C182" s="21">
        <v>0.08</v>
      </c>
      <c r="D182" s="21">
        <v>0.112</v>
      </c>
      <c r="E182" s="21">
        <v>0.03</v>
      </c>
      <c r="F182" s="22">
        <v>10.0</v>
      </c>
      <c r="G182" s="23"/>
      <c r="H182" s="32" t="s">
        <v>230</v>
      </c>
      <c r="I182" s="34" t="s">
        <v>198</v>
      </c>
      <c r="J182" s="24" t="s">
        <v>231</v>
      </c>
      <c r="K182" s="21" t="s">
        <v>232</v>
      </c>
      <c r="L182" s="25" t="s">
        <v>233</v>
      </c>
      <c r="M182" s="26" t="s">
        <v>28</v>
      </c>
      <c r="N182" s="24" t="s">
        <v>185</v>
      </c>
      <c r="O182" s="24" t="s">
        <v>186</v>
      </c>
      <c r="P182" s="27"/>
      <c r="Q182" s="27"/>
      <c r="R182" s="28" t="s">
        <v>234</v>
      </c>
      <c r="S182" s="8" t="s">
        <v>235</v>
      </c>
      <c r="T182" s="29" t="s">
        <v>198</v>
      </c>
      <c r="U182" s="24"/>
    </row>
    <row r="183" hidden="1">
      <c r="A183" s="30">
        <v>7.290112349255E12</v>
      </c>
      <c r="B183" s="20" t="s">
        <v>3132</v>
      </c>
      <c r="C183" s="21">
        <v>0.07</v>
      </c>
      <c r="D183" s="21">
        <v>0.105</v>
      </c>
      <c r="E183" s="21">
        <v>0.05</v>
      </c>
      <c r="F183" s="22">
        <v>6.0</v>
      </c>
      <c r="G183" s="23"/>
      <c r="H183" s="32" t="s">
        <v>230</v>
      </c>
      <c r="I183" s="34" t="s">
        <v>2071</v>
      </c>
      <c r="J183" s="24" t="s">
        <v>3133</v>
      </c>
      <c r="K183" s="21" t="s">
        <v>3134</v>
      </c>
      <c r="L183" s="25" t="s">
        <v>3135</v>
      </c>
      <c r="M183" s="26" t="s">
        <v>28</v>
      </c>
      <c r="N183" s="24" t="s">
        <v>501</v>
      </c>
      <c r="O183" s="24" t="s">
        <v>729</v>
      </c>
      <c r="P183" s="27"/>
      <c r="Q183" s="27"/>
      <c r="R183" s="28" t="s">
        <v>3136</v>
      </c>
      <c r="S183" s="8" t="s">
        <v>3137</v>
      </c>
      <c r="T183" s="29" t="s">
        <v>2077</v>
      </c>
      <c r="U183" s="24"/>
    </row>
    <row r="184" hidden="1">
      <c r="A184" s="30">
        <v>7.290112346537E12</v>
      </c>
      <c r="B184" s="20" t="s">
        <v>4764</v>
      </c>
      <c r="C184" s="21">
        <v>0.26</v>
      </c>
      <c r="D184" s="21">
        <v>0.09</v>
      </c>
      <c r="E184" s="21">
        <v>0.03</v>
      </c>
      <c r="F184" s="22">
        <v>10.0</v>
      </c>
      <c r="G184" s="23"/>
      <c r="H184" s="32" t="s">
        <v>230</v>
      </c>
      <c r="I184" s="34" t="s">
        <v>4770</v>
      </c>
      <c r="J184" s="24" t="s">
        <v>4765</v>
      </c>
      <c r="K184" s="21" t="s">
        <v>4766</v>
      </c>
      <c r="L184" s="25" t="s">
        <v>4767</v>
      </c>
      <c r="M184" s="26" t="s">
        <v>28</v>
      </c>
      <c r="N184" s="24" t="s">
        <v>2364</v>
      </c>
      <c r="O184" s="24" t="s">
        <v>3164</v>
      </c>
      <c r="P184" s="27"/>
      <c r="Q184" s="27"/>
      <c r="R184" s="31" t="s">
        <v>4768</v>
      </c>
      <c r="S184" s="33" t="s">
        <v>4769</v>
      </c>
      <c r="T184" s="29" t="s">
        <v>4770</v>
      </c>
      <c r="U184" s="24"/>
    </row>
    <row r="185" hidden="1">
      <c r="A185" s="30">
        <v>7.290106658479E12</v>
      </c>
      <c r="B185" s="20" t="s">
        <v>4771</v>
      </c>
      <c r="C185" s="21">
        <v>0.16</v>
      </c>
      <c r="D185" s="21">
        <v>0.035</v>
      </c>
      <c r="E185" s="21">
        <v>0.02</v>
      </c>
      <c r="F185" s="22">
        <v>15.0</v>
      </c>
      <c r="G185" s="23"/>
      <c r="H185" s="32" t="s">
        <v>230</v>
      </c>
      <c r="I185" s="34" t="s">
        <v>4772</v>
      </c>
      <c r="J185" s="24" t="s">
        <v>4773</v>
      </c>
      <c r="K185" s="21" t="s">
        <v>4774</v>
      </c>
      <c r="L185" s="25" t="s">
        <v>4775</v>
      </c>
      <c r="M185" s="26" t="s">
        <v>28</v>
      </c>
      <c r="N185" s="24" t="s">
        <v>501</v>
      </c>
      <c r="O185" s="24" t="s">
        <v>502</v>
      </c>
      <c r="P185" s="27"/>
      <c r="Q185" s="27"/>
      <c r="R185" s="31" t="s">
        <v>4776</v>
      </c>
      <c r="S185" s="33" t="s">
        <v>4777</v>
      </c>
      <c r="T185" s="29" t="s">
        <v>4772</v>
      </c>
      <c r="U185" s="24"/>
    </row>
    <row r="186" hidden="1">
      <c r="A186" s="30">
        <v>9.310072028743E12</v>
      </c>
      <c r="B186" s="20" t="s">
        <v>4739</v>
      </c>
      <c r="C186" s="21">
        <v>0.24</v>
      </c>
      <c r="D186" s="21">
        <v>0.075</v>
      </c>
      <c r="E186" s="21">
        <v>0.035</v>
      </c>
      <c r="F186" s="22">
        <v>9.0</v>
      </c>
      <c r="G186" s="23"/>
      <c r="H186" s="24" t="s">
        <v>4731</v>
      </c>
      <c r="I186" s="21" t="s">
        <v>4732</v>
      </c>
      <c r="J186" s="24" t="s">
        <v>4740</v>
      </c>
      <c r="K186" s="21" t="s">
        <v>4741</v>
      </c>
      <c r="L186" s="25" t="s">
        <v>4742</v>
      </c>
      <c r="M186" s="26" t="s">
        <v>28</v>
      </c>
      <c r="N186" s="24" t="s">
        <v>2364</v>
      </c>
      <c r="O186" s="24" t="s">
        <v>2365</v>
      </c>
      <c r="P186" s="27"/>
      <c r="Q186" s="27"/>
      <c r="R186" s="28" t="s">
        <v>4743</v>
      </c>
      <c r="S186" s="33" t="s">
        <v>4744</v>
      </c>
      <c r="T186" s="29" t="s">
        <v>4738</v>
      </c>
      <c r="U186" s="24"/>
    </row>
    <row r="187" hidden="1">
      <c r="A187" s="30">
        <v>9.31007202875E12</v>
      </c>
      <c r="B187" s="20" t="s">
        <v>4730</v>
      </c>
      <c r="C187" s="21">
        <v>0.24</v>
      </c>
      <c r="D187" s="21">
        <v>0.075</v>
      </c>
      <c r="E187" s="21">
        <v>0.035</v>
      </c>
      <c r="F187" s="22">
        <v>9.0</v>
      </c>
      <c r="G187" s="23"/>
      <c r="H187" s="24" t="s">
        <v>4731</v>
      </c>
      <c r="I187" s="21" t="s">
        <v>4732</v>
      </c>
      <c r="J187" s="24" t="s">
        <v>4733</v>
      </c>
      <c r="K187" s="21" t="s">
        <v>4734</v>
      </c>
      <c r="L187" s="25" t="s">
        <v>4735</v>
      </c>
      <c r="M187" s="26" t="s">
        <v>28</v>
      </c>
      <c r="N187" s="24" t="s">
        <v>2364</v>
      </c>
      <c r="O187" s="24" t="s">
        <v>2365</v>
      </c>
      <c r="P187" s="27"/>
      <c r="Q187" s="27"/>
      <c r="R187" s="28" t="s">
        <v>4736</v>
      </c>
      <c r="S187" s="8" t="s">
        <v>4737</v>
      </c>
      <c r="T187" s="29" t="s">
        <v>4738</v>
      </c>
      <c r="U187" s="24"/>
    </row>
    <row r="188" hidden="1">
      <c r="A188" s="30">
        <v>8.0050124E7</v>
      </c>
      <c r="B188" s="20" t="s">
        <v>4715</v>
      </c>
      <c r="C188" s="21">
        <v>0.037</v>
      </c>
      <c r="D188" s="21">
        <v>0.061</v>
      </c>
      <c r="E188" s="21">
        <v>0.02</v>
      </c>
      <c r="F188" s="22">
        <v>15.0</v>
      </c>
      <c r="G188" s="23"/>
      <c r="H188" s="24" t="s">
        <v>4716</v>
      </c>
      <c r="I188" s="21" t="s">
        <v>4717</v>
      </c>
      <c r="J188" s="24" t="s">
        <v>4718</v>
      </c>
      <c r="K188" s="21" t="s">
        <v>4719</v>
      </c>
      <c r="L188" s="25" t="s">
        <v>4720</v>
      </c>
      <c r="M188" s="26" t="s">
        <v>28</v>
      </c>
      <c r="N188" s="24" t="s">
        <v>1433</v>
      </c>
      <c r="O188" s="24" t="s">
        <v>4721</v>
      </c>
      <c r="P188" s="27"/>
      <c r="Q188" s="27"/>
      <c r="R188" s="28" t="s">
        <v>4722</v>
      </c>
      <c r="S188" s="8" t="s">
        <v>4723</v>
      </c>
      <c r="T188" s="29" t="s">
        <v>4717</v>
      </c>
      <c r="U188" s="24"/>
    </row>
    <row r="189" hidden="1">
      <c r="A189" s="30">
        <v>8.0050025E7</v>
      </c>
      <c r="B189" s="20" t="s">
        <v>4724</v>
      </c>
      <c r="C189" s="21">
        <v>0.037</v>
      </c>
      <c r="D189" s="21">
        <v>0.061</v>
      </c>
      <c r="E189" s="21">
        <v>0.02</v>
      </c>
      <c r="F189" s="22">
        <v>15.0</v>
      </c>
      <c r="G189" s="23"/>
      <c r="H189" s="24" t="s">
        <v>4716</v>
      </c>
      <c r="I189" s="21" t="s">
        <v>4717</v>
      </c>
      <c r="J189" s="24" t="s">
        <v>4725</v>
      </c>
      <c r="K189" s="21" t="s">
        <v>4726</v>
      </c>
      <c r="L189" s="25" t="s">
        <v>4727</v>
      </c>
      <c r="M189" s="26" t="s">
        <v>28</v>
      </c>
      <c r="N189" s="24" t="s">
        <v>1433</v>
      </c>
      <c r="O189" s="24" t="s">
        <v>4721</v>
      </c>
      <c r="P189" s="27"/>
      <c r="Q189" s="27"/>
      <c r="R189" s="31" t="s">
        <v>4728</v>
      </c>
      <c r="S189" s="33" t="s">
        <v>4729</v>
      </c>
      <c r="T189" s="29" t="s">
        <v>4717</v>
      </c>
      <c r="U189" s="24"/>
    </row>
    <row r="190" hidden="1">
      <c r="A190" s="30">
        <v>7.290008464611E12</v>
      </c>
      <c r="B190" s="20" t="s">
        <v>4693</v>
      </c>
      <c r="C190" s="21">
        <v>0.06</v>
      </c>
      <c r="D190" s="21">
        <v>0.197</v>
      </c>
      <c r="E190" s="21">
        <v>0.06</v>
      </c>
      <c r="F190" s="22">
        <v>5.0</v>
      </c>
      <c r="G190" s="23"/>
      <c r="H190" s="24" t="s">
        <v>4679</v>
      </c>
      <c r="I190" s="21" t="s">
        <v>4680</v>
      </c>
      <c r="J190" s="24" t="s">
        <v>4694</v>
      </c>
      <c r="K190" s="21" t="s">
        <v>4695</v>
      </c>
      <c r="L190" s="25" t="s">
        <v>4696</v>
      </c>
      <c r="M190" s="26" t="s">
        <v>28</v>
      </c>
      <c r="N190" s="24" t="s">
        <v>2158</v>
      </c>
      <c r="O190" s="24" t="s">
        <v>2166</v>
      </c>
      <c r="P190" s="27"/>
      <c r="Q190" s="27"/>
      <c r="R190" s="28" t="s">
        <v>4697</v>
      </c>
      <c r="S190" s="8" t="s">
        <v>4698</v>
      </c>
      <c r="T190" s="29" t="s">
        <v>4692</v>
      </c>
      <c r="U190" s="24"/>
    </row>
    <row r="191" hidden="1">
      <c r="A191" s="30">
        <v>7.290000135151E12</v>
      </c>
      <c r="B191" s="20" t="s">
        <v>4686</v>
      </c>
      <c r="C191" s="21">
        <v>0.06</v>
      </c>
      <c r="D191" s="21">
        <v>0.197</v>
      </c>
      <c r="E191" s="21">
        <v>0.06</v>
      </c>
      <c r="F191" s="22">
        <v>5.0</v>
      </c>
      <c r="G191" s="23"/>
      <c r="H191" s="24" t="s">
        <v>4679</v>
      </c>
      <c r="I191" s="21" t="s">
        <v>4680</v>
      </c>
      <c r="J191" s="24" t="s">
        <v>4687</v>
      </c>
      <c r="K191" s="21" t="s">
        <v>4688</v>
      </c>
      <c r="L191" s="25" t="s">
        <v>4689</v>
      </c>
      <c r="M191" s="26" t="s">
        <v>28</v>
      </c>
      <c r="N191" s="24" t="s">
        <v>2158</v>
      </c>
      <c r="O191" s="24" t="s">
        <v>2166</v>
      </c>
      <c r="P191" s="27"/>
      <c r="Q191" s="27"/>
      <c r="R191" s="28" t="s">
        <v>4690</v>
      </c>
      <c r="S191" s="8" t="s">
        <v>4691</v>
      </c>
      <c r="T191" s="29" t="s">
        <v>4692</v>
      </c>
      <c r="U191" s="24"/>
    </row>
    <row r="192" hidden="1">
      <c r="A192" s="30">
        <v>7.290000327624E12</v>
      </c>
      <c r="B192" s="20" t="s">
        <v>4678</v>
      </c>
      <c r="C192" s="21">
        <v>0.098</v>
      </c>
      <c r="D192" s="21">
        <v>0.335</v>
      </c>
      <c r="E192" s="21">
        <v>0.098</v>
      </c>
      <c r="F192" s="22">
        <v>3.0</v>
      </c>
      <c r="G192" s="23"/>
      <c r="H192" s="24" t="s">
        <v>4679</v>
      </c>
      <c r="I192" s="21" t="s">
        <v>4680</v>
      </c>
      <c r="J192" s="24" t="s">
        <v>4681</v>
      </c>
      <c r="K192" s="21" t="s">
        <v>4682</v>
      </c>
      <c r="L192" s="25" t="s">
        <v>5189</v>
      </c>
      <c r="M192" s="26" t="s">
        <v>37</v>
      </c>
      <c r="N192" s="24" t="s">
        <v>2158</v>
      </c>
      <c r="O192" s="24" t="s">
        <v>2159</v>
      </c>
      <c r="P192" s="27"/>
      <c r="Q192" s="27"/>
      <c r="R192" s="31" t="s">
        <v>4684</v>
      </c>
      <c r="S192" s="8" t="s">
        <v>4685</v>
      </c>
      <c r="T192" s="29" t="e">
        <v>#N/A</v>
      </c>
      <c r="U192" s="24"/>
    </row>
    <row r="193" hidden="1">
      <c r="A193" s="30">
        <v>7.290000072753E12</v>
      </c>
      <c r="B193" s="20" t="s">
        <v>5190</v>
      </c>
      <c r="C193" s="21">
        <v>0.09999999</v>
      </c>
      <c r="D193" s="21">
        <v>0.154</v>
      </c>
      <c r="E193" s="21">
        <v>0.087</v>
      </c>
      <c r="F193" s="22">
        <v>3.0</v>
      </c>
      <c r="G193" s="23"/>
      <c r="H193" s="24" t="s">
        <v>4708</v>
      </c>
      <c r="I193" s="21" t="s">
        <v>5191</v>
      </c>
      <c r="J193" s="24" t="s">
        <v>4710</v>
      </c>
      <c r="K193" s="21" t="s">
        <v>4711</v>
      </c>
      <c r="L193" s="25" t="s">
        <v>4712</v>
      </c>
      <c r="M193" s="26" t="s">
        <v>37</v>
      </c>
      <c r="N193" s="24" t="s">
        <v>1262</v>
      </c>
      <c r="O193" s="24" t="s">
        <v>1263</v>
      </c>
      <c r="P193" s="27"/>
      <c r="Q193" s="27"/>
      <c r="R193" s="31" t="s">
        <v>4713</v>
      </c>
      <c r="S193" s="8" t="s">
        <v>4714</v>
      </c>
      <c r="T193" s="29" t="e">
        <v>#N/A</v>
      </c>
      <c r="U193" s="24"/>
    </row>
    <row r="194" hidden="1">
      <c r="A194" s="30">
        <v>7.2917367E7</v>
      </c>
      <c r="B194" s="20" t="s">
        <v>4552</v>
      </c>
      <c r="C194" s="21">
        <v>0.135</v>
      </c>
      <c r="D194" s="21">
        <v>0.05</v>
      </c>
      <c r="E194" s="21">
        <v>0.02</v>
      </c>
      <c r="F194" s="22">
        <v>15.0</v>
      </c>
      <c r="G194" s="23"/>
      <c r="H194" s="24" t="s">
        <v>4553</v>
      </c>
      <c r="I194" s="21" t="s">
        <v>4554</v>
      </c>
      <c r="J194" s="24" t="s">
        <v>4555</v>
      </c>
      <c r="K194" s="21" t="s">
        <v>4556</v>
      </c>
      <c r="L194" s="25" t="s">
        <v>4557</v>
      </c>
      <c r="M194" s="26" t="s">
        <v>28</v>
      </c>
      <c r="N194" s="24" t="s">
        <v>501</v>
      </c>
      <c r="O194" s="24" t="s">
        <v>502</v>
      </c>
      <c r="P194" s="27"/>
      <c r="Q194" s="27"/>
      <c r="R194" s="31" t="s">
        <v>4558</v>
      </c>
      <c r="S194" s="8" t="s">
        <v>4559</v>
      </c>
      <c r="T194" s="29" t="s">
        <v>4554</v>
      </c>
      <c r="U194" s="24"/>
    </row>
    <row r="195" hidden="1">
      <c r="A195" s="30">
        <v>7.290107945332E12</v>
      </c>
      <c r="B195" s="20" t="s">
        <v>236</v>
      </c>
      <c r="C195" s="21">
        <v>0.08</v>
      </c>
      <c r="D195" s="21">
        <v>0.112</v>
      </c>
      <c r="E195" s="21">
        <v>0.03</v>
      </c>
      <c r="F195" s="22">
        <v>10.0</v>
      </c>
      <c r="G195" s="23"/>
      <c r="H195" s="32" t="s">
        <v>237</v>
      </c>
      <c r="I195" s="21" t="s">
        <v>198</v>
      </c>
      <c r="J195" s="24" t="s">
        <v>238</v>
      </c>
      <c r="K195" s="21" t="s">
        <v>239</v>
      </c>
      <c r="L195" s="25" t="s">
        <v>240</v>
      </c>
      <c r="M195" s="26" t="s">
        <v>28</v>
      </c>
      <c r="N195" s="24" t="s">
        <v>185</v>
      </c>
      <c r="O195" s="24" t="s">
        <v>241</v>
      </c>
      <c r="P195" s="27"/>
      <c r="Q195" s="27"/>
      <c r="R195" s="31" t="s">
        <v>242</v>
      </c>
      <c r="S195" s="33" t="s">
        <v>243</v>
      </c>
      <c r="T195" s="29" t="s">
        <v>198</v>
      </c>
      <c r="U195" s="24"/>
    </row>
    <row r="196" hidden="1">
      <c r="A196" s="30">
        <v>8.9079310036E12</v>
      </c>
      <c r="B196" s="20" t="s">
        <v>4699</v>
      </c>
      <c r="C196" s="21">
        <v>0.13</v>
      </c>
      <c r="D196" s="21">
        <v>0.19</v>
      </c>
      <c r="E196" s="21">
        <v>0.05</v>
      </c>
      <c r="F196" s="22">
        <v>6.0</v>
      </c>
      <c r="G196" s="23"/>
      <c r="H196" s="24" t="s">
        <v>4700</v>
      </c>
      <c r="I196" s="21" t="s">
        <v>4701</v>
      </c>
      <c r="J196" s="24" t="s">
        <v>4702</v>
      </c>
      <c r="K196" s="21" t="s">
        <v>4703</v>
      </c>
      <c r="L196" s="25" t="s">
        <v>4704</v>
      </c>
      <c r="M196" s="26" t="s">
        <v>37</v>
      </c>
      <c r="N196" s="24" t="s">
        <v>109</v>
      </c>
      <c r="O196" s="24" t="s">
        <v>3867</v>
      </c>
      <c r="P196" s="27"/>
      <c r="Q196" s="27"/>
      <c r="R196" s="28" t="s">
        <v>4705</v>
      </c>
      <c r="S196" s="8" t="s">
        <v>4706</v>
      </c>
      <c r="T196" s="29" t="e">
        <v>#N/A</v>
      </c>
      <c r="U196" s="21" t="s">
        <v>113</v>
      </c>
    </row>
    <row r="197" hidden="1">
      <c r="A197" s="30">
        <v>7.290110326999E12</v>
      </c>
      <c r="B197" s="20" t="s">
        <v>4960</v>
      </c>
      <c r="C197" s="21">
        <v>0.06</v>
      </c>
      <c r="D197" s="21">
        <v>0.17</v>
      </c>
      <c r="E197" s="21">
        <v>0.075</v>
      </c>
      <c r="F197" s="22">
        <v>4.0</v>
      </c>
      <c r="G197" s="23"/>
      <c r="H197" s="24" t="s">
        <v>4955</v>
      </c>
      <c r="I197" s="21" t="s">
        <v>4956</v>
      </c>
      <c r="J197" s="24" t="s">
        <v>4961</v>
      </c>
      <c r="K197" s="21" t="s">
        <v>4962</v>
      </c>
      <c r="L197" s="25" t="s">
        <v>4963</v>
      </c>
      <c r="M197" s="26" t="s">
        <v>28</v>
      </c>
      <c r="N197" s="24" t="s">
        <v>700</v>
      </c>
      <c r="O197" s="24" t="s">
        <v>1078</v>
      </c>
      <c r="P197" s="27"/>
      <c r="Q197" s="27"/>
      <c r="R197" s="31" t="s">
        <v>4964</v>
      </c>
      <c r="S197" s="33" t="s">
        <v>4965</v>
      </c>
      <c r="T197" s="29" t="s">
        <v>4966</v>
      </c>
      <c r="U197" s="24"/>
    </row>
    <row r="198" hidden="1">
      <c r="A198" s="30">
        <v>7.501013101447E12</v>
      </c>
      <c r="B198" s="20" t="s">
        <v>2000</v>
      </c>
      <c r="C198" s="21">
        <v>0.068</v>
      </c>
      <c r="D198" s="21">
        <v>0.175</v>
      </c>
      <c r="E198" s="21">
        <v>0.068</v>
      </c>
      <c r="F198" s="22">
        <v>4.0</v>
      </c>
      <c r="G198" s="23"/>
      <c r="H198" s="24" t="s">
        <v>2001</v>
      </c>
      <c r="I198" s="21" t="s">
        <v>1951</v>
      </c>
      <c r="J198" s="24" t="s">
        <v>2002</v>
      </c>
      <c r="K198" s="21" t="s">
        <v>2003</v>
      </c>
      <c r="L198" s="25" t="s">
        <v>2004</v>
      </c>
      <c r="M198" s="26" t="s">
        <v>28</v>
      </c>
      <c r="N198" s="24" t="s">
        <v>1555</v>
      </c>
      <c r="O198" s="24" t="s">
        <v>1556</v>
      </c>
      <c r="P198" s="27"/>
      <c r="Q198" s="27"/>
      <c r="R198" s="28" t="s">
        <v>2005</v>
      </c>
      <c r="S198" s="8" t="s">
        <v>2006</v>
      </c>
      <c r="T198" s="29" t="s">
        <v>1951</v>
      </c>
      <c r="U198" s="24"/>
    </row>
    <row r="199" hidden="1">
      <c r="A199" s="30">
        <v>7.290110323066E12</v>
      </c>
      <c r="B199" s="20" t="s">
        <v>1663</v>
      </c>
      <c r="C199" s="21">
        <v>0.062</v>
      </c>
      <c r="D199" s="21">
        <v>0.173</v>
      </c>
      <c r="E199" s="21">
        <v>0.075</v>
      </c>
      <c r="F199" s="22">
        <v>4.0</v>
      </c>
      <c r="G199" s="23"/>
      <c r="H199" s="32" t="s">
        <v>1664</v>
      </c>
      <c r="I199" s="21" t="s">
        <v>1665</v>
      </c>
      <c r="J199" s="24" t="s">
        <v>1666</v>
      </c>
      <c r="K199" s="21" t="s">
        <v>1667</v>
      </c>
      <c r="L199" s="25" t="s">
        <v>1668</v>
      </c>
      <c r="M199" s="26" t="s">
        <v>28</v>
      </c>
      <c r="N199" s="24" t="s">
        <v>1021</v>
      </c>
      <c r="O199" s="24" t="s">
        <v>1044</v>
      </c>
      <c r="P199" s="27"/>
      <c r="Q199" s="27"/>
      <c r="R199" s="31" t="s">
        <v>1669</v>
      </c>
      <c r="S199" s="33" t="s">
        <v>1670</v>
      </c>
      <c r="T199" s="29" t="s">
        <v>1671</v>
      </c>
      <c r="U199" s="24"/>
    </row>
    <row r="200" hidden="1">
      <c r="A200" s="30">
        <v>7.290110323073E12</v>
      </c>
      <c r="B200" s="20" t="s">
        <v>1672</v>
      </c>
      <c r="C200" s="21">
        <v>0.062</v>
      </c>
      <c r="D200" s="21">
        <v>0.173</v>
      </c>
      <c r="E200" s="21">
        <v>0.075</v>
      </c>
      <c r="F200" s="22">
        <v>4.0</v>
      </c>
      <c r="G200" s="23"/>
      <c r="H200" s="32" t="s">
        <v>1664</v>
      </c>
      <c r="I200" s="21" t="s">
        <v>1665</v>
      </c>
      <c r="J200" s="24" t="s">
        <v>1673</v>
      </c>
      <c r="K200" s="21" t="s">
        <v>1674</v>
      </c>
      <c r="L200" s="25" t="s">
        <v>1675</v>
      </c>
      <c r="M200" s="26" t="s">
        <v>28</v>
      </c>
      <c r="N200" s="24" t="s">
        <v>1021</v>
      </c>
      <c r="O200" s="24" t="s">
        <v>1044</v>
      </c>
      <c r="P200" s="27"/>
      <c r="Q200" s="27"/>
      <c r="R200" s="31" t="s">
        <v>1676</v>
      </c>
      <c r="S200" s="33" t="s">
        <v>1677</v>
      </c>
      <c r="T200" s="29" t="s">
        <v>1671</v>
      </c>
      <c r="U200" s="24"/>
    </row>
    <row r="201" hidden="1">
      <c r="A201" s="30">
        <v>7.290110321703E12</v>
      </c>
      <c r="B201" s="20" t="s">
        <v>4980</v>
      </c>
      <c r="C201" s="21">
        <v>0.073</v>
      </c>
      <c r="D201" s="21">
        <v>0.072</v>
      </c>
      <c r="E201" s="21">
        <v>0.075</v>
      </c>
      <c r="F201" s="22">
        <v>4.0</v>
      </c>
      <c r="G201" s="23"/>
      <c r="H201" s="32" t="s">
        <v>1664</v>
      </c>
      <c r="I201" s="21" t="s">
        <v>4973</v>
      </c>
      <c r="J201" s="24" t="s">
        <v>4981</v>
      </c>
      <c r="K201" s="21" t="s">
        <v>4982</v>
      </c>
      <c r="L201" s="25" t="s">
        <v>4983</v>
      </c>
      <c r="M201" s="26" t="s">
        <v>28</v>
      </c>
      <c r="N201" s="24" t="s">
        <v>1021</v>
      </c>
      <c r="O201" s="24" t="s">
        <v>1022</v>
      </c>
      <c r="P201" s="27"/>
      <c r="Q201" s="27"/>
      <c r="R201" s="28" t="s">
        <v>4984</v>
      </c>
      <c r="S201" s="8" t="s">
        <v>4985</v>
      </c>
      <c r="T201" s="29" t="s">
        <v>4979</v>
      </c>
      <c r="U201" s="24"/>
    </row>
    <row r="202" hidden="1">
      <c r="A202" s="30">
        <v>7.29011032168E12</v>
      </c>
      <c r="B202" s="20" t="s">
        <v>4971</v>
      </c>
      <c r="C202" s="21">
        <v>0.073</v>
      </c>
      <c r="D202" s="21">
        <v>0.072</v>
      </c>
      <c r="E202" s="21">
        <v>0.075</v>
      </c>
      <c r="F202" s="22">
        <v>4.0</v>
      </c>
      <c r="G202" s="23"/>
      <c r="H202" s="32" t="s">
        <v>1664</v>
      </c>
      <c r="I202" s="21" t="s">
        <v>4973</v>
      </c>
      <c r="J202" s="24" t="s">
        <v>4974</v>
      </c>
      <c r="K202" s="21" t="s">
        <v>4975</v>
      </c>
      <c r="L202" s="25" t="s">
        <v>4976</v>
      </c>
      <c r="M202" s="26" t="s">
        <v>28</v>
      </c>
      <c r="N202" s="24" t="s">
        <v>1021</v>
      </c>
      <c r="O202" s="24" t="s">
        <v>1022</v>
      </c>
      <c r="P202" s="27"/>
      <c r="Q202" s="27"/>
      <c r="R202" s="28" t="s">
        <v>4977</v>
      </c>
      <c r="S202" s="8" t="s">
        <v>4978</v>
      </c>
      <c r="T202" s="29" t="s">
        <v>4979</v>
      </c>
      <c r="U202" s="24"/>
    </row>
    <row r="203" hidden="1">
      <c r="A203" s="30">
        <v>40080.0</v>
      </c>
      <c r="B203" s="20" t="s">
        <v>5017</v>
      </c>
      <c r="C203" s="21">
        <v>0.073</v>
      </c>
      <c r="D203" s="21">
        <v>0.072</v>
      </c>
      <c r="E203" s="21">
        <v>0.075</v>
      </c>
      <c r="F203" s="22">
        <v>4.0</v>
      </c>
      <c r="G203" s="23"/>
      <c r="H203" s="32" t="s">
        <v>1664</v>
      </c>
      <c r="I203" s="21" t="s">
        <v>4987</v>
      </c>
      <c r="J203" s="24" t="s">
        <v>5018</v>
      </c>
      <c r="K203" s="21" t="s">
        <v>5019</v>
      </c>
      <c r="L203" s="25" t="s">
        <v>5020</v>
      </c>
      <c r="M203" s="26" t="s">
        <v>28</v>
      </c>
      <c r="N203" s="24" t="s">
        <v>1021</v>
      </c>
      <c r="O203" s="24" t="s">
        <v>1022</v>
      </c>
      <c r="P203" s="27"/>
      <c r="Q203" s="27"/>
      <c r="R203" s="28" t="s">
        <v>5021</v>
      </c>
      <c r="S203" s="8" t="s">
        <v>5022</v>
      </c>
      <c r="T203" s="29" t="s">
        <v>4987</v>
      </c>
      <c r="U203" s="24"/>
    </row>
    <row r="204" hidden="1">
      <c r="A204" s="30">
        <v>40042.0</v>
      </c>
      <c r="B204" s="20" t="s">
        <v>5023</v>
      </c>
      <c r="C204" s="21">
        <v>0.073</v>
      </c>
      <c r="D204" s="21">
        <v>0.072</v>
      </c>
      <c r="E204" s="21">
        <v>0.075</v>
      </c>
      <c r="F204" s="22">
        <v>4.0</v>
      </c>
      <c r="G204" s="23"/>
      <c r="H204" s="32" t="s">
        <v>1664</v>
      </c>
      <c r="I204" s="21" t="s">
        <v>4987</v>
      </c>
      <c r="J204" s="24" t="s">
        <v>5024</v>
      </c>
      <c r="K204" s="21" t="s">
        <v>5025</v>
      </c>
      <c r="L204" s="25" t="s">
        <v>5026</v>
      </c>
      <c r="M204" s="26" t="s">
        <v>28</v>
      </c>
      <c r="N204" s="24" t="s">
        <v>1021</v>
      </c>
      <c r="O204" s="24" t="s">
        <v>1022</v>
      </c>
      <c r="P204" s="27"/>
      <c r="Q204" s="27"/>
      <c r="R204" s="28" t="s">
        <v>5027</v>
      </c>
      <c r="S204" s="8" t="s">
        <v>5028</v>
      </c>
      <c r="T204" s="29" t="s">
        <v>4987</v>
      </c>
      <c r="U204" s="24"/>
    </row>
    <row r="205" hidden="1">
      <c r="A205" s="30">
        <v>7.290110326241E12</v>
      </c>
      <c r="B205" s="20" t="s">
        <v>4993</v>
      </c>
      <c r="C205" s="21">
        <v>0.08</v>
      </c>
      <c r="D205" s="21">
        <v>0.07</v>
      </c>
      <c r="E205" s="21">
        <v>0.065</v>
      </c>
      <c r="F205" s="22">
        <v>5.0</v>
      </c>
      <c r="G205" s="23"/>
      <c r="H205" s="32" t="s">
        <v>1664</v>
      </c>
      <c r="I205" s="21" t="s">
        <v>4987</v>
      </c>
      <c r="J205" s="24" t="s">
        <v>4994</v>
      </c>
      <c r="K205" s="21" t="s">
        <v>4995</v>
      </c>
      <c r="L205" s="25" t="s">
        <v>4996</v>
      </c>
      <c r="M205" s="26" t="s">
        <v>28</v>
      </c>
      <c r="N205" s="24" t="s">
        <v>1021</v>
      </c>
      <c r="O205" s="24" t="s">
        <v>1022</v>
      </c>
      <c r="P205" s="27"/>
      <c r="Q205" s="27"/>
      <c r="R205" s="28" t="s">
        <v>4997</v>
      </c>
      <c r="S205" s="8" t="s">
        <v>4998</v>
      </c>
      <c r="T205" s="29" t="s">
        <v>4987</v>
      </c>
      <c r="U205" s="24"/>
    </row>
    <row r="206" hidden="1">
      <c r="A206" s="30">
        <v>7.290110326234E12</v>
      </c>
      <c r="B206" s="20" t="s">
        <v>4999</v>
      </c>
      <c r="C206" s="21">
        <v>0.08</v>
      </c>
      <c r="D206" s="21">
        <v>0.072</v>
      </c>
      <c r="E206" s="21">
        <v>0.075</v>
      </c>
      <c r="F206" s="22">
        <v>4.0</v>
      </c>
      <c r="G206" s="23"/>
      <c r="H206" s="32" t="s">
        <v>1664</v>
      </c>
      <c r="I206" s="21" t="s">
        <v>4987</v>
      </c>
      <c r="J206" s="24" t="s">
        <v>5000</v>
      </c>
      <c r="K206" s="21" t="s">
        <v>5001</v>
      </c>
      <c r="L206" s="25" t="s">
        <v>5002</v>
      </c>
      <c r="M206" s="26" t="s">
        <v>28</v>
      </c>
      <c r="N206" s="24" t="s">
        <v>1021</v>
      </c>
      <c r="O206" s="24" t="s">
        <v>1022</v>
      </c>
      <c r="P206" s="27"/>
      <c r="Q206" s="27"/>
      <c r="R206" s="31" t="s">
        <v>5003</v>
      </c>
      <c r="S206" s="8" t="s">
        <v>5004</v>
      </c>
      <c r="T206" s="29" t="s">
        <v>4987</v>
      </c>
      <c r="U206" s="24"/>
    </row>
    <row r="207" hidden="1">
      <c r="A207" s="30">
        <v>7.29011032621E12</v>
      </c>
      <c r="B207" s="20" t="s">
        <v>4986</v>
      </c>
      <c r="C207" s="21">
        <v>0.08</v>
      </c>
      <c r="D207" s="21">
        <v>0.07</v>
      </c>
      <c r="E207" s="21">
        <v>0.065</v>
      </c>
      <c r="F207" s="22">
        <v>5.0</v>
      </c>
      <c r="G207" s="23"/>
      <c r="H207" s="32" t="s">
        <v>1664</v>
      </c>
      <c r="I207" s="21" t="s">
        <v>4987</v>
      </c>
      <c r="J207" s="24" t="s">
        <v>4988</v>
      </c>
      <c r="K207" s="21" t="s">
        <v>4989</v>
      </c>
      <c r="L207" s="25" t="s">
        <v>4990</v>
      </c>
      <c r="M207" s="26" t="s">
        <v>28</v>
      </c>
      <c r="N207" s="24" t="s">
        <v>1021</v>
      </c>
      <c r="O207" s="24" t="s">
        <v>1022</v>
      </c>
      <c r="P207" s="27"/>
      <c r="Q207" s="27"/>
      <c r="R207" s="28" t="s">
        <v>4991</v>
      </c>
      <c r="S207" s="8" t="s">
        <v>4992</v>
      </c>
      <c r="T207" s="29" t="s">
        <v>4987</v>
      </c>
      <c r="U207" s="24"/>
    </row>
    <row r="208" hidden="1">
      <c r="A208" s="30">
        <v>7.290110324636E12</v>
      </c>
      <c r="B208" s="20" t="s">
        <v>5005</v>
      </c>
      <c r="C208" s="21">
        <v>0.075</v>
      </c>
      <c r="D208" s="21">
        <v>0.08</v>
      </c>
      <c r="E208" s="21">
        <v>0.075</v>
      </c>
      <c r="F208" s="22">
        <v>4.0</v>
      </c>
      <c r="G208" s="23"/>
      <c r="H208" s="32" t="s">
        <v>1664</v>
      </c>
      <c r="I208" s="21" t="s">
        <v>4987</v>
      </c>
      <c r="J208" s="24" t="s">
        <v>5006</v>
      </c>
      <c r="K208" s="21" t="s">
        <v>5007</v>
      </c>
      <c r="L208" s="25" t="s">
        <v>5008</v>
      </c>
      <c r="M208" s="26" t="s">
        <v>28</v>
      </c>
      <c r="N208" s="24" t="s">
        <v>1021</v>
      </c>
      <c r="O208" s="24" t="s">
        <v>1022</v>
      </c>
      <c r="P208" s="27"/>
      <c r="Q208" s="27"/>
      <c r="R208" s="28" t="s">
        <v>5009</v>
      </c>
      <c r="S208" s="8" t="s">
        <v>5010</v>
      </c>
      <c r="T208" s="29" t="s">
        <v>4987</v>
      </c>
      <c r="U208" s="24"/>
    </row>
    <row r="209" hidden="1">
      <c r="A209" s="30">
        <v>7.290110324612E12</v>
      </c>
      <c r="B209" s="20" t="s">
        <v>5011</v>
      </c>
      <c r="C209" s="21">
        <v>0.075</v>
      </c>
      <c r="D209" s="21">
        <v>0.08</v>
      </c>
      <c r="E209" s="21">
        <v>0.075</v>
      </c>
      <c r="F209" s="22">
        <v>4.0</v>
      </c>
      <c r="G209" s="23"/>
      <c r="H209" s="32" t="s">
        <v>1664</v>
      </c>
      <c r="I209" s="21" t="s">
        <v>4987</v>
      </c>
      <c r="J209" s="24" t="s">
        <v>5012</v>
      </c>
      <c r="K209" s="21" t="s">
        <v>5013</v>
      </c>
      <c r="L209" s="25" t="s">
        <v>5014</v>
      </c>
      <c r="M209" s="26" t="s">
        <v>28</v>
      </c>
      <c r="N209" s="24" t="s">
        <v>1021</v>
      </c>
      <c r="O209" s="24" t="s">
        <v>1022</v>
      </c>
      <c r="P209" s="27"/>
      <c r="Q209" s="27"/>
      <c r="R209" s="28" t="s">
        <v>5015</v>
      </c>
      <c r="S209" s="8" t="s">
        <v>5016</v>
      </c>
      <c r="T209" s="29" t="s">
        <v>4987</v>
      </c>
      <c r="U209" s="24"/>
    </row>
    <row r="210" hidden="1">
      <c r="A210" s="30">
        <v>55336.0</v>
      </c>
      <c r="B210" s="20" t="s">
        <v>5029</v>
      </c>
      <c r="C210" s="21">
        <v>0.06</v>
      </c>
      <c r="D210" s="21">
        <v>0.16</v>
      </c>
      <c r="E210" s="21">
        <v>0.05</v>
      </c>
      <c r="F210" s="22">
        <v>6.0</v>
      </c>
      <c r="G210" s="23"/>
      <c r="H210" s="32" t="s">
        <v>1664</v>
      </c>
      <c r="I210" s="21" t="s">
        <v>5030</v>
      </c>
      <c r="J210" s="24" t="s">
        <v>5031</v>
      </c>
      <c r="K210" s="21" t="s">
        <v>5032</v>
      </c>
      <c r="L210" s="25" t="s">
        <v>5033</v>
      </c>
      <c r="M210" s="26" t="s">
        <v>28</v>
      </c>
      <c r="N210" s="24" t="s">
        <v>1021</v>
      </c>
      <c r="O210" s="24" t="s">
        <v>1044</v>
      </c>
      <c r="P210" s="27"/>
      <c r="Q210" s="27"/>
      <c r="R210" s="28" t="s">
        <v>5034</v>
      </c>
      <c r="S210" s="8" t="s">
        <v>5035</v>
      </c>
      <c r="T210" s="29" t="s">
        <v>5030</v>
      </c>
      <c r="U210" s="24"/>
    </row>
    <row r="211" hidden="1">
      <c r="A211" s="30">
        <v>55329.0</v>
      </c>
      <c r="B211" s="20" t="s">
        <v>5036</v>
      </c>
      <c r="C211" s="21">
        <v>0.06</v>
      </c>
      <c r="D211" s="21">
        <v>0.16</v>
      </c>
      <c r="E211" s="21">
        <v>0.055</v>
      </c>
      <c r="F211" s="22">
        <v>5.0</v>
      </c>
      <c r="G211" s="23"/>
      <c r="H211" s="32" t="s">
        <v>1664</v>
      </c>
      <c r="I211" s="21" t="s">
        <v>5030</v>
      </c>
      <c r="J211" s="24" t="s">
        <v>5037</v>
      </c>
      <c r="K211" s="21" t="s">
        <v>5038</v>
      </c>
      <c r="L211" s="25" t="s">
        <v>5039</v>
      </c>
      <c r="M211" s="26" t="s">
        <v>28</v>
      </c>
      <c r="N211" s="24" t="s">
        <v>1021</v>
      </c>
      <c r="O211" s="24" t="s">
        <v>1044</v>
      </c>
      <c r="P211" s="27"/>
      <c r="Q211" s="27"/>
      <c r="R211" s="28" t="s">
        <v>5040</v>
      </c>
      <c r="S211" s="8" t="s">
        <v>5041</v>
      </c>
      <c r="T211" s="29" t="s">
        <v>5030</v>
      </c>
      <c r="U211" s="24"/>
    </row>
    <row r="212" hidden="1">
      <c r="A212" s="30">
        <v>42855.0</v>
      </c>
      <c r="B212" s="20" t="s">
        <v>694</v>
      </c>
      <c r="C212" s="21">
        <v>0.09</v>
      </c>
      <c r="D212" s="21">
        <v>0.145</v>
      </c>
      <c r="E212" s="21">
        <v>0.09</v>
      </c>
      <c r="F212" s="22">
        <v>3.0</v>
      </c>
      <c r="G212" s="23"/>
      <c r="H212" s="32" t="s">
        <v>695</v>
      </c>
      <c r="I212" s="21" t="s">
        <v>696</v>
      </c>
      <c r="J212" s="24" t="s">
        <v>697</v>
      </c>
      <c r="K212" s="21" t="s">
        <v>698</v>
      </c>
      <c r="L212" s="25" t="s">
        <v>699</v>
      </c>
      <c r="M212" s="26" t="s">
        <v>28</v>
      </c>
      <c r="N212" s="24" t="s">
        <v>700</v>
      </c>
      <c r="O212" s="24" t="s">
        <v>701</v>
      </c>
      <c r="P212" s="27"/>
      <c r="Q212" s="27"/>
      <c r="R212" s="28" t="s">
        <v>702</v>
      </c>
      <c r="S212" s="8" t="s">
        <v>703</v>
      </c>
      <c r="T212" s="29" t="s">
        <v>696</v>
      </c>
      <c r="U212" s="24"/>
    </row>
    <row r="213" hidden="1">
      <c r="A213" s="30">
        <v>41858.0</v>
      </c>
      <c r="B213" s="20" t="s">
        <v>1328</v>
      </c>
      <c r="C213" s="21">
        <v>0.07</v>
      </c>
      <c r="D213" s="21">
        <v>0.075</v>
      </c>
      <c r="E213" s="21">
        <v>0.075</v>
      </c>
      <c r="F213" s="22">
        <v>4.0</v>
      </c>
      <c r="G213" s="23"/>
      <c r="H213" s="32" t="s">
        <v>695</v>
      </c>
      <c r="I213" s="21" t="s">
        <v>1329</v>
      </c>
      <c r="J213" s="24" t="s">
        <v>1330</v>
      </c>
      <c r="K213" s="21" t="s">
        <v>1331</v>
      </c>
      <c r="L213" s="25" t="s">
        <v>1332</v>
      </c>
      <c r="M213" s="26" t="s">
        <v>28</v>
      </c>
      <c r="N213" s="24" t="s">
        <v>975</v>
      </c>
      <c r="O213" s="24" t="s">
        <v>976</v>
      </c>
      <c r="P213" s="27"/>
      <c r="Q213" s="27"/>
      <c r="R213" s="28" t="s">
        <v>1333</v>
      </c>
      <c r="S213" s="8" t="s">
        <v>1334</v>
      </c>
      <c r="T213" s="29" t="s">
        <v>1329</v>
      </c>
      <c r="U213" s="24"/>
    </row>
    <row r="214" hidden="1">
      <c r="A214" s="30">
        <v>7.290014763678E12</v>
      </c>
      <c r="B214" s="20" t="s">
        <v>1716</v>
      </c>
      <c r="C214" s="21">
        <v>0.07</v>
      </c>
      <c r="D214" s="21">
        <v>0.15</v>
      </c>
      <c r="E214" s="21">
        <v>0.075</v>
      </c>
      <c r="F214" s="22">
        <v>4.0</v>
      </c>
      <c r="G214" s="23"/>
      <c r="H214" s="32" t="s">
        <v>695</v>
      </c>
      <c r="I214" s="21" t="s">
        <v>1717</v>
      </c>
      <c r="J214" s="24" t="s">
        <v>1718</v>
      </c>
      <c r="K214" s="21" t="s">
        <v>1719</v>
      </c>
      <c r="L214" s="25" t="s">
        <v>1720</v>
      </c>
      <c r="M214" s="26" t="s">
        <v>28</v>
      </c>
      <c r="N214" s="24" t="s">
        <v>700</v>
      </c>
      <c r="O214" s="24" t="s">
        <v>1078</v>
      </c>
      <c r="P214" s="27"/>
      <c r="Q214" s="27"/>
      <c r="R214" s="28" t="s">
        <v>1721</v>
      </c>
      <c r="S214" s="8" t="s">
        <v>1722</v>
      </c>
      <c r="T214" s="29" t="s">
        <v>1717</v>
      </c>
      <c r="U214" s="24"/>
    </row>
    <row r="215" hidden="1">
      <c r="A215" s="30">
        <v>7.290110563448E12</v>
      </c>
      <c r="B215" s="20" t="s">
        <v>1885</v>
      </c>
      <c r="C215" s="21">
        <v>0.08</v>
      </c>
      <c r="D215" s="21">
        <v>0.13</v>
      </c>
      <c r="E215" s="21">
        <v>0.08</v>
      </c>
      <c r="F215" s="22">
        <v>4.0</v>
      </c>
      <c r="G215" s="23"/>
      <c r="H215" s="32" t="s">
        <v>695</v>
      </c>
      <c r="I215" s="21" t="s">
        <v>1886</v>
      </c>
      <c r="J215" s="24" t="s">
        <v>1887</v>
      </c>
      <c r="K215" s="21" t="s">
        <v>1888</v>
      </c>
      <c r="L215" s="25" t="s">
        <v>1889</v>
      </c>
      <c r="M215" s="26" t="s">
        <v>28</v>
      </c>
      <c r="N215" s="24" t="s">
        <v>700</v>
      </c>
      <c r="O215" s="24" t="s">
        <v>1078</v>
      </c>
      <c r="P215" s="27"/>
      <c r="Q215" s="27"/>
      <c r="R215" s="31" t="s">
        <v>1890</v>
      </c>
      <c r="S215" s="8" t="s">
        <v>1891</v>
      </c>
      <c r="T215" s="29" t="s">
        <v>1886</v>
      </c>
      <c r="U215" s="24"/>
    </row>
    <row r="216" hidden="1">
      <c r="A216" s="30">
        <v>7.290110563431E12</v>
      </c>
      <c r="B216" s="20" t="s">
        <v>1892</v>
      </c>
      <c r="C216" s="21">
        <v>0.08</v>
      </c>
      <c r="D216" s="21">
        <v>0.13</v>
      </c>
      <c r="E216" s="21">
        <v>0.08</v>
      </c>
      <c r="F216" s="22">
        <v>4.0</v>
      </c>
      <c r="G216" s="23"/>
      <c r="H216" s="32" t="s">
        <v>695</v>
      </c>
      <c r="I216" s="21" t="s">
        <v>1886</v>
      </c>
      <c r="J216" s="24" t="s">
        <v>1893</v>
      </c>
      <c r="K216" s="21" t="s">
        <v>1894</v>
      </c>
      <c r="L216" s="25" t="s">
        <v>1895</v>
      </c>
      <c r="M216" s="26" t="s">
        <v>28</v>
      </c>
      <c r="N216" s="24" t="s">
        <v>700</v>
      </c>
      <c r="O216" s="24" t="s">
        <v>1078</v>
      </c>
      <c r="P216" s="27"/>
      <c r="Q216" s="27"/>
      <c r="R216" s="28" t="s">
        <v>1896</v>
      </c>
      <c r="S216" s="8" t="s">
        <v>1897</v>
      </c>
      <c r="T216" s="29" t="s">
        <v>1886</v>
      </c>
      <c r="U216" s="24"/>
    </row>
    <row r="217" hidden="1">
      <c r="A217" s="30">
        <v>7.290110564742E12</v>
      </c>
      <c r="B217" s="20" t="s">
        <v>1898</v>
      </c>
      <c r="C217" s="21">
        <v>0.08</v>
      </c>
      <c r="D217" s="21">
        <v>0.13</v>
      </c>
      <c r="E217" s="21">
        <v>0.08</v>
      </c>
      <c r="F217" s="22">
        <v>4.0</v>
      </c>
      <c r="G217" s="23"/>
      <c r="H217" s="32" t="s">
        <v>695</v>
      </c>
      <c r="I217" s="21" t="s">
        <v>1886</v>
      </c>
      <c r="J217" s="24" t="s">
        <v>1899</v>
      </c>
      <c r="K217" s="21" t="s">
        <v>1900</v>
      </c>
      <c r="L217" s="25" t="s">
        <v>1901</v>
      </c>
      <c r="M217" s="26" t="s">
        <v>28</v>
      </c>
      <c r="N217" s="24" t="s">
        <v>700</v>
      </c>
      <c r="O217" s="24" t="s">
        <v>1078</v>
      </c>
      <c r="P217" s="27"/>
      <c r="Q217" s="27"/>
      <c r="R217" s="31" t="s">
        <v>1902</v>
      </c>
      <c r="S217" s="33" t="s">
        <v>1903</v>
      </c>
      <c r="T217" s="29" t="s">
        <v>1886</v>
      </c>
      <c r="U217" s="24"/>
    </row>
    <row r="218" hidden="1">
      <c r="A218" s="30">
        <v>7.290107933315E12</v>
      </c>
      <c r="B218" s="20" t="s">
        <v>2773</v>
      </c>
      <c r="C218" s="21">
        <v>0.073</v>
      </c>
      <c r="D218" s="21">
        <v>0.232</v>
      </c>
      <c r="E218" s="21">
        <v>0.075</v>
      </c>
      <c r="F218" s="22">
        <v>4.0</v>
      </c>
      <c r="G218" s="23"/>
      <c r="H218" s="32" t="s">
        <v>695</v>
      </c>
      <c r="I218" s="21" t="s">
        <v>2774</v>
      </c>
      <c r="J218" s="24" t="s">
        <v>2775</v>
      </c>
      <c r="K218" s="21" t="s">
        <v>2776</v>
      </c>
      <c r="L218" s="25" t="s">
        <v>2777</v>
      </c>
      <c r="M218" s="26" t="s">
        <v>28</v>
      </c>
      <c r="N218" s="24" t="s">
        <v>907</v>
      </c>
      <c r="O218" s="24" t="s">
        <v>908</v>
      </c>
      <c r="P218" s="27"/>
      <c r="Q218" s="27"/>
      <c r="R218" s="28" t="s">
        <v>2778</v>
      </c>
      <c r="S218" s="8" t="s">
        <v>2779</v>
      </c>
      <c r="T218" s="29" t="s">
        <v>2774</v>
      </c>
      <c r="U218" s="24"/>
    </row>
    <row r="219" hidden="1">
      <c r="A219" s="30">
        <v>7.290107932134E12</v>
      </c>
      <c r="B219" s="20" t="s">
        <v>2788</v>
      </c>
      <c r="C219" s="21">
        <v>0.08</v>
      </c>
      <c r="D219" s="21">
        <v>0.232</v>
      </c>
      <c r="E219" s="21">
        <v>0.07</v>
      </c>
      <c r="F219" s="22">
        <v>4.0</v>
      </c>
      <c r="G219" s="23"/>
      <c r="H219" s="32" t="s">
        <v>695</v>
      </c>
      <c r="I219" s="21" t="s">
        <v>2789</v>
      </c>
      <c r="J219" s="24" t="s">
        <v>2790</v>
      </c>
      <c r="K219" s="21" t="s">
        <v>2791</v>
      </c>
      <c r="L219" s="25" t="s">
        <v>2792</v>
      </c>
      <c r="M219" s="26" t="s">
        <v>28</v>
      </c>
      <c r="N219" s="24" t="s">
        <v>907</v>
      </c>
      <c r="O219" s="24" t="s">
        <v>908</v>
      </c>
      <c r="P219" s="27"/>
      <c r="Q219" s="27"/>
      <c r="R219" s="28" t="s">
        <v>2793</v>
      </c>
      <c r="S219" s="8" t="s">
        <v>2794</v>
      </c>
      <c r="T219" s="29" t="s">
        <v>2789</v>
      </c>
      <c r="U219" s="24"/>
    </row>
    <row r="220" hidden="1">
      <c r="A220" s="30">
        <v>7.29010793208E12</v>
      </c>
      <c r="B220" s="20" t="s">
        <v>2802</v>
      </c>
      <c r="C220" s="21">
        <v>0.08</v>
      </c>
      <c r="D220" s="21">
        <v>0.23</v>
      </c>
      <c r="E220" s="21">
        <v>0.08</v>
      </c>
      <c r="F220" s="22">
        <v>4.0</v>
      </c>
      <c r="G220" s="23"/>
      <c r="H220" s="32" t="s">
        <v>695</v>
      </c>
      <c r="I220" s="21" t="s">
        <v>2803</v>
      </c>
      <c r="J220" s="24" t="s">
        <v>2804</v>
      </c>
      <c r="K220" s="21" t="s">
        <v>2805</v>
      </c>
      <c r="L220" s="25" t="s">
        <v>2806</v>
      </c>
      <c r="M220" s="26" t="s">
        <v>28</v>
      </c>
      <c r="N220" s="24" t="s">
        <v>907</v>
      </c>
      <c r="O220" s="24" t="s">
        <v>908</v>
      </c>
      <c r="P220" s="27"/>
      <c r="Q220" s="27"/>
      <c r="R220" s="28" t="s">
        <v>2807</v>
      </c>
      <c r="S220" s="8" t="s">
        <v>2808</v>
      </c>
      <c r="T220" s="29" t="s">
        <v>2803</v>
      </c>
      <c r="U220" s="24"/>
    </row>
    <row r="221" hidden="1">
      <c r="A221" s="30">
        <v>7.290110565497E12</v>
      </c>
      <c r="B221" s="20" t="s">
        <v>3894</v>
      </c>
      <c r="C221" s="21">
        <v>0.062</v>
      </c>
      <c r="D221" s="21">
        <v>0.173</v>
      </c>
      <c r="E221" s="21">
        <v>0.075</v>
      </c>
      <c r="F221" s="22">
        <v>4.0</v>
      </c>
      <c r="G221" s="23"/>
      <c r="H221" s="32" t="s">
        <v>695</v>
      </c>
      <c r="I221" s="21" t="s">
        <v>3895</v>
      </c>
      <c r="J221" s="24" t="s">
        <v>3896</v>
      </c>
      <c r="K221" s="21" t="s">
        <v>3897</v>
      </c>
      <c r="L221" s="25" t="s">
        <v>3898</v>
      </c>
      <c r="M221" s="26" t="s">
        <v>28</v>
      </c>
      <c r="N221" s="24" t="s">
        <v>700</v>
      </c>
      <c r="O221" s="24" t="s">
        <v>1078</v>
      </c>
      <c r="P221" s="27"/>
      <c r="Q221" s="27"/>
      <c r="R221" s="31" t="s">
        <v>3899</v>
      </c>
      <c r="S221" s="33" t="s">
        <v>3900</v>
      </c>
      <c r="T221" s="29" t="s">
        <v>3895</v>
      </c>
      <c r="U221" s="24"/>
    </row>
    <row r="222" hidden="1">
      <c r="A222" s="30">
        <v>7.29011234342E12</v>
      </c>
      <c r="B222" s="20" t="s">
        <v>3901</v>
      </c>
      <c r="C222" s="21">
        <v>0.062</v>
      </c>
      <c r="D222" s="21">
        <v>0.173</v>
      </c>
      <c r="E222" s="21">
        <v>0.065</v>
      </c>
      <c r="F222" s="22">
        <v>5.0</v>
      </c>
      <c r="G222" s="23"/>
      <c r="H222" s="32" t="s">
        <v>695</v>
      </c>
      <c r="I222" s="21" t="s">
        <v>1081</v>
      </c>
      <c r="J222" s="24" t="s">
        <v>3902</v>
      </c>
      <c r="K222" s="21" t="s">
        <v>3903</v>
      </c>
      <c r="L222" s="25" t="s">
        <v>3904</v>
      </c>
      <c r="M222" s="26" t="s">
        <v>28</v>
      </c>
      <c r="N222" s="24" t="s">
        <v>700</v>
      </c>
      <c r="O222" s="24" t="s">
        <v>1078</v>
      </c>
      <c r="P222" s="27"/>
      <c r="Q222" s="27"/>
      <c r="R222" s="31" t="s">
        <v>3905</v>
      </c>
      <c r="S222" s="33" t="s">
        <v>3906</v>
      </c>
      <c r="T222" s="29" t="s">
        <v>1081</v>
      </c>
      <c r="U222" s="24"/>
    </row>
    <row r="223" hidden="1">
      <c r="A223" s="30">
        <v>7.290107951395E12</v>
      </c>
      <c r="B223" s="20" t="s">
        <v>3919</v>
      </c>
      <c r="C223" s="21">
        <v>0.055</v>
      </c>
      <c r="D223" s="21">
        <v>0.16</v>
      </c>
      <c r="E223" s="21">
        <v>0.055</v>
      </c>
      <c r="F223" s="22">
        <v>5.0</v>
      </c>
      <c r="G223" s="23"/>
      <c r="H223" s="32" t="s">
        <v>695</v>
      </c>
      <c r="I223" s="21" t="s">
        <v>1081</v>
      </c>
      <c r="J223" s="24" t="s">
        <v>3920</v>
      </c>
      <c r="K223" s="21" t="s">
        <v>3921</v>
      </c>
      <c r="L223" s="25" t="s">
        <v>3922</v>
      </c>
      <c r="M223" s="26" t="s">
        <v>28</v>
      </c>
      <c r="N223" s="24" t="s">
        <v>700</v>
      </c>
      <c r="O223" s="24" t="s">
        <v>1078</v>
      </c>
      <c r="P223" s="27"/>
      <c r="Q223" s="27"/>
      <c r="R223" s="28" t="s">
        <v>3923</v>
      </c>
      <c r="S223" s="8" t="s">
        <v>3924</v>
      </c>
      <c r="T223" s="29" t="s">
        <v>1081</v>
      </c>
      <c r="U223" s="24"/>
    </row>
    <row r="224" hidden="1">
      <c r="A224" s="30">
        <v>7.290107951401E12</v>
      </c>
      <c r="B224" s="20" t="s">
        <v>3907</v>
      </c>
      <c r="C224" s="21">
        <v>0.055</v>
      </c>
      <c r="D224" s="21">
        <v>0.16</v>
      </c>
      <c r="E224" s="21">
        <v>0.055</v>
      </c>
      <c r="F224" s="22">
        <v>5.0</v>
      </c>
      <c r="G224" s="23"/>
      <c r="H224" s="32" t="s">
        <v>695</v>
      </c>
      <c r="I224" s="21" t="s">
        <v>1081</v>
      </c>
      <c r="J224" s="24" t="s">
        <v>3908</v>
      </c>
      <c r="K224" s="21" t="s">
        <v>3909</v>
      </c>
      <c r="L224" s="25" t="s">
        <v>3910</v>
      </c>
      <c r="M224" s="26" t="s">
        <v>28</v>
      </c>
      <c r="N224" s="24" t="s">
        <v>700</v>
      </c>
      <c r="O224" s="24" t="s">
        <v>1078</v>
      </c>
      <c r="P224" s="27"/>
      <c r="Q224" s="27"/>
      <c r="R224" s="28" t="s">
        <v>3911</v>
      </c>
      <c r="S224" s="8" t="s">
        <v>3912</v>
      </c>
      <c r="T224" s="29" t="s">
        <v>1081</v>
      </c>
      <c r="U224" s="24"/>
    </row>
    <row r="225" hidden="1">
      <c r="A225" s="30">
        <v>7.290107954976E12</v>
      </c>
      <c r="B225" s="20" t="s">
        <v>3913</v>
      </c>
      <c r="C225" s="21">
        <v>0.06</v>
      </c>
      <c r="D225" s="21">
        <v>0.175</v>
      </c>
      <c r="E225" s="21">
        <v>0.06</v>
      </c>
      <c r="F225" s="22">
        <v>5.0</v>
      </c>
      <c r="G225" s="23"/>
      <c r="H225" s="32" t="s">
        <v>695</v>
      </c>
      <c r="I225" s="21" t="s">
        <v>1081</v>
      </c>
      <c r="J225" s="24" t="s">
        <v>3914</v>
      </c>
      <c r="K225" s="21" t="s">
        <v>3915</v>
      </c>
      <c r="L225" s="25" t="s">
        <v>3916</v>
      </c>
      <c r="M225" s="26" t="s">
        <v>28</v>
      </c>
      <c r="N225" s="24" t="s">
        <v>700</v>
      </c>
      <c r="O225" s="24" t="s">
        <v>1078</v>
      </c>
      <c r="P225" s="27"/>
      <c r="Q225" s="27"/>
      <c r="R225" s="28" t="s">
        <v>3917</v>
      </c>
      <c r="S225" s="8" t="s">
        <v>3918</v>
      </c>
      <c r="T225" s="29" t="s">
        <v>1081</v>
      </c>
      <c r="U225" s="24"/>
    </row>
    <row r="226" hidden="1">
      <c r="A226" s="30">
        <v>7.290112330987E12</v>
      </c>
      <c r="B226" s="20" t="s">
        <v>3931</v>
      </c>
      <c r="C226" s="21">
        <v>0.062</v>
      </c>
      <c r="D226" s="21">
        <v>0.173</v>
      </c>
      <c r="E226" s="21">
        <v>0.075</v>
      </c>
      <c r="F226" s="22">
        <v>4.0</v>
      </c>
      <c r="G226" s="23"/>
      <c r="H226" s="32" t="s">
        <v>695</v>
      </c>
      <c r="I226" s="21" t="s">
        <v>1081</v>
      </c>
      <c r="J226" s="24" t="s">
        <v>3932</v>
      </c>
      <c r="K226" s="21" t="s">
        <v>3933</v>
      </c>
      <c r="L226" s="25" t="s">
        <v>3934</v>
      </c>
      <c r="M226" s="26" t="s">
        <v>28</v>
      </c>
      <c r="N226" s="24" t="s">
        <v>700</v>
      </c>
      <c r="O226" s="24" t="s">
        <v>1078</v>
      </c>
      <c r="P226" s="27"/>
      <c r="Q226" s="27"/>
      <c r="R226" s="28" t="s">
        <v>3935</v>
      </c>
      <c r="S226" s="8" t="s">
        <v>3936</v>
      </c>
      <c r="T226" s="29" t="s">
        <v>1081</v>
      </c>
      <c r="U226" s="24"/>
    </row>
    <row r="227" hidden="1">
      <c r="A227" s="30">
        <v>7.29011233097E12</v>
      </c>
      <c r="B227" s="20" t="s">
        <v>3925</v>
      </c>
      <c r="C227" s="21">
        <v>0.062</v>
      </c>
      <c r="D227" s="21">
        <v>0.173</v>
      </c>
      <c r="E227" s="21">
        <v>0.062</v>
      </c>
      <c r="F227" s="22">
        <v>5.0</v>
      </c>
      <c r="G227" s="23"/>
      <c r="H227" s="32" t="s">
        <v>695</v>
      </c>
      <c r="I227" s="21" t="s">
        <v>1081</v>
      </c>
      <c r="J227" s="24" t="s">
        <v>3926</v>
      </c>
      <c r="K227" s="21" t="s">
        <v>3927</v>
      </c>
      <c r="L227" s="25" t="s">
        <v>3928</v>
      </c>
      <c r="M227" s="26" t="s">
        <v>28</v>
      </c>
      <c r="N227" s="24" t="s">
        <v>700</v>
      </c>
      <c r="O227" s="24" t="s">
        <v>1078</v>
      </c>
      <c r="P227" s="27"/>
      <c r="Q227" s="27"/>
      <c r="R227" s="28" t="s">
        <v>3929</v>
      </c>
      <c r="S227" s="8" t="s">
        <v>3930</v>
      </c>
      <c r="T227" s="29" t="s">
        <v>1081</v>
      </c>
      <c r="U227" s="24"/>
    </row>
    <row r="228" hidden="1">
      <c r="A228" s="30">
        <v>7.290107933643E12</v>
      </c>
      <c r="B228" s="20" t="s">
        <v>4298</v>
      </c>
      <c r="C228" s="21">
        <v>0.06</v>
      </c>
      <c r="D228" s="21">
        <v>0.16</v>
      </c>
      <c r="E228" s="21">
        <v>0.04</v>
      </c>
      <c r="F228" s="22">
        <v>8.0</v>
      </c>
      <c r="G228" s="23"/>
      <c r="H228" s="32" t="s">
        <v>695</v>
      </c>
      <c r="I228" s="21" t="s">
        <v>4299</v>
      </c>
      <c r="J228" s="24" t="s">
        <v>4300</v>
      </c>
      <c r="K228" s="21" t="s">
        <v>4301</v>
      </c>
      <c r="L228" s="25" t="s">
        <v>4302</v>
      </c>
      <c r="M228" s="26" t="s">
        <v>28</v>
      </c>
      <c r="N228" s="24" t="s">
        <v>700</v>
      </c>
      <c r="O228" s="24" t="s">
        <v>1078</v>
      </c>
      <c r="P228" s="27"/>
      <c r="Q228" s="27"/>
      <c r="R228" s="28" t="s">
        <v>4303</v>
      </c>
      <c r="S228" s="8" t="s">
        <v>4304</v>
      </c>
      <c r="T228" s="29" t="s">
        <v>4299</v>
      </c>
      <c r="U228" s="24"/>
    </row>
    <row r="229" hidden="1">
      <c r="A229" s="30">
        <v>7.29010793365E12</v>
      </c>
      <c r="B229" s="20" t="s">
        <v>4305</v>
      </c>
      <c r="C229" s="21">
        <v>0.055</v>
      </c>
      <c r="D229" s="21">
        <v>0.16</v>
      </c>
      <c r="E229" s="21">
        <v>0.04</v>
      </c>
      <c r="F229" s="22">
        <v>8.0</v>
      </c>
      <c r="G229" s="23"/>
      <c r="H229" s="32" t="s">
        <v>695</v>
      </c>
      <c r="I229" s="21" t="s">
        <v>4299</v>
      </c>
      <c r="J229" s="24" t="s">
        <v>4306</v>
      </c>
      <c r="K229" s="21" t="s">
        <v>4307</v>
      </c>
      <c r="L229" s="25" t="s">
        <v>4308</v>
      </c>
      <c r="M229" s="26" t="s">
        <v>28</v>
      </c>
      <c r="N229" s="24" t="s">
        <v>700</v>
      </c>
      <c r="O229" s="24" t="s">
        <v>1078</v>
      </c>
      <c r="P229" s="27"/>
      <c r="Q229" s="27"/>
      <c r="R229" s="28" t="s">
        <v>4309</v>
      </c>
      <c r="S229" s="8" t="s">
        <v>4310</v>
      </c>
      <c r="T229" s="29" t="s">
        <v>4299</v>
      </c>
      <c r="U229" s="24"/>
    </row>
    <row r="230" hidden="1">
      <c r="A230" s="30">
        <v>3029907.0</v>
      </c>
      <c r="B230" s="20" t="s">
        <v>5042</v>
      </c>
      <c r="C230" s="21">
        <v>0.08</v>
      </c>
      <c r="D230" s="21">
        <v>0.26</v>
      </c>
      <c r="E230" s="21">
        <v>0.08</v>
      </c>
      <c r="F230" s="22">
        <v>4.0</v>
      </c>
      <c r="G230" s="23"/>
      <c r="H230" s="32" t="s">
        <v>695</v>
      </c>
      <c r="I230" s="21" t="s">
        <v>5043</v>
      </c>
      <c r="J230" s="24" t="s">
        <v>5044</v>
      </c>
      <c r="K230" s="21" t="s">
        <v>5045</v>
      </c>
      <c r="L230" s="25" t="s">
        <v>5046</v>
      </c>
      <c r="M230" s="26" t="s">
        <v>28</v>
      </c>
      <c r="N230" s="24" t="s">
        <v>700</v>
      </c>
      <c r="O230" s="24" t="s">
        <v>709</v>
      </c>
      <c r="P230" s="27"/>
      <c r="Q230" s="27"/>
      <c r="R230" s="31" t="s">
        <v>5047</v>
      </c>
      <c r="S230" s="8" t="s">
        <v>5048</v>
      </c>
      <c r="T230" s="29" t="s">
        <v>5043</v>
      </c>
      <c r="U230" s="24"/>
    </row>
    <row r="231" hidden="1">
      <c r="A231" s="30">
        <v>3029532.0</v>
      </c>
      <c r="B231" s="20" t="s">
        <v>5049</v>
      </c>
      <c r="C231" s="21">
        <v>0.08</v>
      </c>
      <c r="D231" s="21">
        <v>0.26</v>
      </c>
      <c r="E231" s="21">
        <v>0.075</v>
      </c>
      <c r="F231" s="22">
        <v>4.0</v>
      </c>
      <c r="G231" s="23"/>
      <c r="H231" s="32" t="s">
        <v>695</v>
      </c>
      <c r="I231" s="21" t="s">
        <v>5043</v>
      </c>
      <c r="J231" s="24" t="s">
        <v>5050</v>
      </c>
      <c r="K231" s="21" t="s">
        <v>5051</v>
      </c>
      <c r="L231" s="25" t="s">
        <v>5052</v>
      </c>
      <c r="M231" s="26" t="s">
        <v>28</v>
      </c>
      <c r="N231" s="24" t="s">
        <v>700</v>
      </c>
      <c r="O231" s="24" t="s">
        <v>709</v>
      </c>
      <c r="P231" s="27"/>
      <c r="Q231" s="27"/>
      <c r="R231" s="31" t="s">
        <v>5053</v>
      </c>
      <c r="S231" s="33" t="s">
        <v>5054</v>
      </c>
      <c r="T231" s="29" t="s">
        <v>5043</v>
      </c>
      <c r="U231" s="24"/>
    </row>
    <row r="232" hidden="1">
      <c r="A232" s="30">
        <v>3029181.0</v>
      </c>
      <c r="B232" s="20" t="s">
        <v>5055</v>
      </c>
      <c r="C232" s="21">
        <v>0.08</v>
      </c>
      <c r="D232" s="21">
        <v>0.26</v>
      </c>
      <c r="E232" s="21">
        <v>0.075</v>
      </c>
      <c r="F232" s="22">
        <v>4.0</v>
      </c>
      <c r="G232" s="23"/>
      <c r="H232" s="32" t="s">
        <v>695</v>
      </c>
      <c r="I232" s="21" t="s">
        <v>5043</v>
      </c>
      <c r="J232" s="24" t="s">
        <v>5056</v>
      </c>
      <c r="K232" s="21" t="s">
        <v>5057</v>
      </c>
      <c r="L232" s="25" t="s">
        <v>5058</v>
      </c>
      <c r="M232" s="26" t="s">
        <v>28</v>
      </c>
      <c r="N232" s="24" t="s">
        <v>700</v>
      </c>
      <c r="O232" s="24" t="s">
        <v>709</v>
      </c>
      <c r="P232" s="27"/>
      <c r="Q232" s="27"/>
      <c r="R232" s="31" t="s">
        <v>5059</v>
      </c>
      <c r="S232" s="8" t="s">
        <v>5060</v>
      </c>
      <c r="T232" s="29" t="s">
        <v>5043</v>
      </c>
      <c r="U232" s="24"/>
    </row>
    <row r="233" hidden="1">
      <c r="A233" s="30">
        <v>7.290011438142E12</v>
      </c>
      <c r="B233" s="20" t="s">
        <v>5068</v>
      </c>
      <c r="C233" s="21">
        <v>0.06</v>
      </c>
      <c r="D233" s="21">
        <v>0.17</v>
      </c>
      <c r="E233" s="21">
        <v>0.065</v>
      </c>
      <c r="F233" s="22">
        <v>5.0</v>
      </c>
      <c r="G233" s="23"/>
      <c r="H233" s="32" t="s">
        <v>695</v>
      </c>
      <c r="I233" s="21" t="s">
        <v>5062</v>
      </c>
      <c r="J233" s="24" t="s">
        <v>5069</v>
      </c>
      <c r="K233" s="21" t="s">
        <v>5070</v>
      </c>
      <c r="L233" s="25" t="s">
        <v>5071</v>
      </c>
      <c r="M233" s="26" t="s">
        <v>28</v>
      </c>
      <c r="N233" s="24" t="s">
        <v>700</v>
      </c>
      <c r="O233" s="24" t="s">
        <v>1078</v>
      </c>
      <c r="P233" s="27"/>
      <c r="Q233" s="27"/>
      <c r="R233" s="28" t="s">
        <v>5072</v>
      </c>
      <c r="S233" s="8" t="s">
        <v>5073</v>
      </c>
      <c r="T233" s="29" t="s">
        <v>5062</v>
      </c>
      <c r="U233" s="24"/>
    </row>
    <row r="234" hidden="1">
      <c r="A234" s="30">
        <v>7.290112341112E12</v>
      </c>
      <c r="B234" s="20" t="s">
        <v>5074</v>
      </c>
      <c r="C234" s="21">
        <v>0.06</v>
      </c>
      <c r="D234" s="21">
        <v>0.17</v>
      </c>
      <c r="E234" s="21">
        <v>0.055</v>
      </c>
      <c r="F234" s="22">
        <v>5.0</v>
      </c>
      <c r="G234" s="23"/>
      <c r="H234" s="32" t="s">
        <v>695</v>
      </c>
      <c r="I234" s="21" t="s">
        <v>5062</v>
      </c>
      <c r="J234" s="24" t="s">
        <v>5075</v>
      </c>
      <c r="K234" s="21" t="s">
        <v>5076</v>
      </c>
      <c r="L234" s="25" t="s">
        <v>5077</v>
      </c>
      <c r="M234" s="26" t="s">
        <v>28</v>
      </c>
      <c r="N234" s="24" t="s">
        <v>700</v>
      </c>
      <c r="O234" s="24" t="s">
        <v>1078</v>
      </c>
      <c r="P234" s="27"/>
      <c r="Q234" s="27"/>
      <c r="R234" s="28" t="s">
        <v>5078</v>
      </c>
      <c r="S234" s="8" t="s">
        <v>5079</v>
      </c>
      <c r="T234" s="29" t="s">
        <v>5062</v>
      </c>
      <c r="U234" s="24"/>
    </row>
    <row r="235" hidden="1">
      <c r="A235" s="30">
        <v>7.290105368959E12</v>
      </c>
      <c r="B235" s="20" t="s">
        <v>5061</v>
      </c>
      <c r="C235" s="21">
        <v>0.06</v>
      </c>
      <c r="D235" s="21">
        <v>0.17</v>
      </c>
      <c r="E235" s="21">
        <v>0.075</v>
      </c>
      <c r="F235" s="22">
        <v>4.0</v>
      </c>
      <c r="G235" s="23"/>
      <c r="H235" s="32" t="s">
        <v>695</v>
      </c>
      <c r="I235" s="21" t="s">
        <v>5062</v>
      </c>
      <c r="J235" s="24" t="s">
        <v>5063</v>
      </c>
      <c r="K235" s="21" t="s">
        <v>5064</v>
      </c>
      <c r="L235" s="25" t="s">
        <v>5065</v>
      </c>
      <c r="M235" s="26" t="s">
        <v>28</v>
      </c>
      <c r="N235" s="24" t="s">
        <v>700</v>
      </c>
      <c r="O235" s="24" t="s">
        <v>1078</v>
      </c>
      <c r="P235" s="27"/>
      <c r="Q235" s="27"/>
      <c r="R235" s="28" t="s">
        <v>5066</v>
      </c>
      <c r="S235" s="8" t="s">
        <v>5067</v>
      </c>
      <c r="T235" s="29" t="s">
        <v>5062</v>
      </c>
      <c r="U235" s="24"/>
    </row>
    <row r="236" hidden="1">
      <c r="A236" s="30">
        <v>3029433.0</v>
      </c>
      <c r="B236" s="20" t="s">
        <v>5080</v>
      </c>
      <c r="C236" s="21">
        <v>0.06</v>
      </c>
      <c r="D236" s="21">
        <v>0.17</v>
      </c>
      <c r="E236" s="21">
        <v>0.056</v>
      </c>
      <c r="F236" s="22">
        <v>5.0</v>
      </c>
      <c r="G236" s="23"/>
      <c r="H236" s="32" t="s">
        <v>695</v>
      </c>
      <c r="I236" s="21" t="s">
        <v>5062</v>
      </c>
      <c r="J236" s="24" t="s">
        <v>5081</v>
      </c>
      <c r="K236" s="21" t="s">
        <v>5082</v>
      </c>
      <c r="L236" s="25" t="s">
        <v>5083</v>
      </c>
      <c r="M236" s="26" t="s">
        <v>28</v>
      </c>
      <c r="N236" s="24" t="s">
        <v>700</v>
      </c>
      <c r="O236" s="24" t="s">
        <v>1078</v>
      </c>
      <c r="P236" s="27"/>
      <c r="Q236" s="27"/>
      <c r="R236" s="28" t="s">
        <v>5084</v>
      </c>
      <c r="S236" s="8" t="s">
        <v>5085</v>
      </c>
      <c r="T236" s="29" t="s">
        <v>5062</v>
      </c>
      <c r="U236" s="24"/>
    </row>
    <row r="237" hidden="1">
      <c r="A237" s="30">
        <v>7.290112342621E12</v>
      </c>
      <c r="B237" s="20" t="s">
        <v>5086</v>
      </c>
      <c r="C237" s="21">
        <v>0.06</v>
      </c>
      <c r="D237" s="21">
        <v>0.17</v>
      </c>
      <c r="E237" s="21">
        <v>0.06</v>
      </c>
      <c r="F237" s="22">
        <v>5.0</v>
      </c>
      <c r="G237" s="23"/>
      <c r="H237" s="32" t="s">
        <v>695</v>
      </c>
      <c r="I237" s="21" t="s">
        <v>5062</v>
      </c>
      <c r="J237" s="24" t="s">
        <v>5087</v>
      </c>
      <c r="K237" s="21" t="s">
        <v>5088</v>
      </c>
      <c r="L237" s="25" t="s">
        <v>5089</v>
      </c>
      <c r="M237" s="26" t="s">
        <v>28</v>
      </c>
      <c r="N237" s="24" t="s">
        <v>700</v>
      </c>
      <c r="O237" s="24" t="s">
        <v>1078</v>
      </c>
      <c r="P237" s="27"/>
      <c r="Q237" s="27"/>
      <c r="R237" s="28" t="s">
        <v>5090</v>
      </c>
      <c r="S237" s="8" t="s">
        <v>5091</v>
      </c>
      <c r="T237" s="29" t="s">
        <v>5062</v>
      </c>
      <c r="U237" s="24"/>
    </row>
    <row r="238" hidden="1">
      <c r="A238" s="30">
        <v>7.29000017147E12</v>
      </c>
      <c r="B238" s="20" t="s">
        <v>2078</v>
      </c>
      <c r="C238" s="21">
        <v>0.11</v>
      </c>
      <c r="D238" s="21">
        <v>0.065</v>
      </c>
      <c r="E238" s="21">
        <v>0.02</v>
      </c>
      <c r="F238" s="22">
        <v>15.0</v>
      </c>
      <c r="G238" s="23"/>
      <c r="H238" s="24" t="s">
        <v>2061</v>
      </c>
      <c r="I238" s="21" t="s">
        <v>2062</v>
      </c>
      <c r="J238" s="24" t="s">
        <v>2079</v>
      </c>
      <c r="K238" s="21" t="s">
        <v>2080</v>
      </c>
      <c r="L238" s="25" t="s">
        <v>2081</v>
      </c>
      <c r="M238" s="26" t="s">
        <v>37</v>
      </c>
      <c r="N238" s="24" t="s">
        <v>501</v>
      </c>
      <c r="O238" s="24" t="s">
        <v>502</v>
      </c>
      <c r="P238" s="27"/>
      <c r="Q238" s="27"/>
      <c r="R238" s="31" t="s">
        <v>2082</v>
      </c>
      <c r="S238" s="8" t="s">
        <v>2083</v>
      </c>
      <c r="T238" s="29" t="e">
        <v>#N/A</v>
      </c>
      <c r="U238" s="24"/>
    </row>
    <row r="239" hidden="1">
      <c r="A239" s="30">
        <v>7.290105361707E12</v>
      </c>
      <c r="B239" s="20" t="s">
        <v>2092</v>
      </c>
      <c r="C239" s="21">
        <v>0.11</v>
      </c>
      <c r="D239" s="21">
        <v>0.065</v>
      </c>
      <c r="E239" s="21">
        <v>0.02</v>
      </c>
      <c r="F239" s="22">
        <v>15.0</v>
      </c>
      <c r="G239" s="23"/>
      <c r="H239" s="24" t="s">
        <v>2061</v>
      </c>
      <c r="I239" s="21" t="s">
        <v>2062</v>
      </c>
      <c r="J239" s="24" t="s">
        <v>2093</v>
      </c>
      <c r="K239" s="21" t="s">
        <v>2094</v>
      </c>
      <c r="L239" s="25" t="s">
        <v>2095</v>
      </c>
      <c r="M239" s="26" t="s">
        <v>28</v>
      </c>
      <c r="N239" s="24" t="s">
        <v>501</v>
      </c>
      <c r="O239" s="24" t="s">
        <v>502</v>
      </c>
      <c r="P239" s="27"/>
      <c r="Q239" s="27"/>
      <c r="R239" s="31" t="s">
        <v>2096</v>
      </c>
      <c r="S239" s="33" t="s">
        <v>2097</v>
      </c>
      <c r="T239" s="29" t="s">
        <v>2062</v>
      </c>
      <c r="U239" s="24"/>
    </row>
    <row r="240" hidden="1">
      <c r="A240" s="30">
        <v>7.290105364302E12</v>
      </c>
      <c r="B240" s="20" t="s">
        <v>2060</v>
      </c>
      <c r="C240" s="21">
        <v>0.08</v>
      </c>
      <c r="D240" s="21">
        <v>0.142</v>
      </c>
      <c r="E240" s="21">
        <v>0.037</v>
      </c>
      <c r="F240" s="22">
        <v>8.0</v>
      </c>
      <c r="G240" s="23"/>
      <c r="H240" s="24" t="s">
        <v>2061</v>
      </c>
      <c r="I240" s="21" t="s">
        <v>2062</v>
      </c>
      <c r="J240" s="24" t="s">
        <v>2063</v>
      </c>
      <c r="K240" s="21" t="s">
        <v>2064</v>
      </c>
      <c r="L240" s="25" t="s">
        <v>2065</v>
      </c>
      <c r="M240" s="26" t="s">
        <v>28</v>
      </c>
      <c r="N240" s="24" t="s">
        <v>501</v>
      </c>
      <c r="O240" s="24" t="s">
        <v>729</v>
      </c>
      <c r="P240" s="27"/>
      <c r="Q240" s="27"/>
      <c r="R240" s="28" t="s">
        <v>2066</v>
      </c>
      <c r="S240" s="8" t="s">
        <v>2067</v>
      </c>
      <c r="T240" s="29" t="s">
        <v>2068</v>
      </c>
      <c r="U240" s="24"/>
    </row>
    <row r="241" hidden="1">
      <c r="A241" s="30">
        <v>7.290112347626E12</v>
      </c>
      <c r="B241" s="20" t="s">
        <v>2069</v>
      </c>
      <c r="C241" s="21">
        <v>0.07</v>
      </c>
      <c r="D241" s="21">
        <v>0.105</v>
      </c>
      <c r="E241" s="21">
        <v>0.05</v>
      </c>
      <c r="F241" s="22">
        <v>6.0</v>
      </c>
      <c r="G241" s="23"/>
      <c r="H241" s="24" t="s">
        <v>2061</v>
      </c>
      <c r="I241" s="21" t="s">
        <v>2062</v>
      </c>
      <c r="J241" s="24" t="s">
        <v>2072</v>
      </c>
      <c r="K241" s="21" t="s">
        <v>2073</v>
      </c>
      <c r="L241" s="25" t="s">
        <v>2074</v>
      </c>
      <c r="M241" s="26" t="s">
        <v>28</v>
      </c>
      <c r="N241" s="24" t="s">
        <v>501</v>
      </c>
      <c r="O241" s="24" t="s">
        <v>729</v>
      </c>
      <c r="P241" s="27"/>
      <c r="Q241" s="27"/>
      <c r="R241" s="28" t="s">
        <v>2075</v>
      </c>
      <c r="S241" s="8" t="s">
        <v>2076</v>
      </c>
      <c r="T241" s="29" t="s">
        <v>2077</v>
      </c>
      <c r="U241" s="24"/>
    </row>
    <row r="242" hidden="1">
      <c r="A242" s="30">
        <v>7.290107931397E12</v>
      </c>
      <c r="B242" s="20" t="s">
        <v>2085</v>
      </c>
      <c r="C242" s="21">
        <v>0.08</v>
      </c>
      <c r="D242" s="21">
        <v>0.142</v>
      </c>
      <c r="E242" s="21">
        <v>0.037</v>
      </c>
      <c r="F242" s="22">
        <v>8.0</v>
      </c>
      <c r="G242" s="23"/>
      <c r="H242" s="24" t="s">
        <v>2061</v>
      </c>
      <c r="I242" s="21" t="s">
        <v>2062</v>
      </c>
      <c r="J242" s="24" t="s">
        <v>2086</v>
      </c>
      <c r="K242" s="21" t="s">
        <v>2087</v>
      </c>
      <c r="L242" s="25" t="s">
        <v>2088</v>
      </c>
      <c r="M242" s="26" t="s">
        <v>28</v>
      </c>
      <c r="N242" s="24" t="s">
        <v>501</v>
      </c>
      <c r="O242" s="24" t="s">
        <v>729</v>
      </c>
      <c r="P242" s="27"/>
      <c r="Q242" s="27"/>
      <c r="R242" s="28" t="s">
        <v>2089</v>
      </c>
      <c r="S242" s="8" t="s">
        <v>2090</v>
      </c>
      <c r="T242" s="29" t="s">
        <v>2091</v>
      </c>
      <c r="U242" s="24"/>
    </row>
    <row r="243" hidden="1">
      <c r="A243" s="30">
        <v>7.290000110851E12</v>
      </c>
      <c r="B243" s="20" t="s">
        <v>2054</v>
      </c>
      <c r="C243" s="21">
        <v>0.14</v>
      </c>
      <c r="D243" s="21">
        <v>0.23</v>
      </c>
      <c r="E243" s="21">
        <v>0.04</v>
      </c>
      <c r="F243" s="22">
        <v>8.0</v>
      </c>
      <c r="G243" s="23"/>
      <c r="H243" s="24" t="s">
        <v>2047</v>
      </c>
      <c r="I243" s="21" t="s">
        <v>2048</v>
      </c>
      <c r="J243" s="24" t="s">
        <v>2055</v>
      </c>
      <c r="K243" s="21" t="s">
        <v>2056</v>
      </c>
      <c r="L243" s="25" t="s">
        <v>2057</v>
      </c>
      <c r="M243" s="26" t="s">
        <v>37</v>
      </c>
      <c r="N243" s="24" t="s">
        <v>109</v>
      </c>
      <c r="O243" s="24" t="s">
        <v>603</v>
      </c>
      <c r="P243" s="27"/>
      <c r="Q243" s="27"/>
      <c r="R243" s="31" t="s">
        <v>2058</v>
      </c>
      <c r="S243" s="33" t="s">
        <v>2059</v>
      </c>
      <c r="T243" s="29" t="e">
        <v>#N/A</v>
      </c>
      <c r="U243" s="21" t="s">
        <v>113</v>
      </c>
    </row>
    <row r="244" hidden="1">
      <c r="A244" s="30">
        <v>7.290000110844E12</v>
      </c>
      <c r="B244" s="20" t="s">
        <v>2046</v>
      </c>
      <c r="C244" s="21">
        <v>0.14</v>
      </c>
      <c r="D244" s="21">
        <v>0.23</v>
      </c>
      <c r="E244" s="21">
        <v>0.04</v>
      </c>
      <c r="F244" s="22">
        <v>8.0</v>
      </c>
      <c r="G244" s="23"/>
      <c r="H244" s="24" t="s">
        <v>2047</v>
      </c>
      <c r="I244" s="21" t="s">
        <v>2048</v>
      </c>
      <c r="J244" s="24" t="s">
        <v>2049</v>
      </c>
      <c r="K244" s="21" t="s">
        <v>2050</v>
      </c>
      <c r="L244" s="25" t="s">
        <v>2051</v>
      </c>
      <c r="M244" s="26" t="s">
        <v>37</v>
      </c>
      <c r="N244" s="24" t="s">
        <v>109</v>
      </c>
      <c r="O244" s="24" t="s">
        <v>603</v>
      </c>
      <c r="P244" s="27"/>
      <c r="Q244" s="27"/>
      <c r="R244" s="31" t="s">
        <v>2052</v>
      </c>
      <c r="S244" s="33" t="s">
        <v>2053</v>
      </c>
      <c r="T244" s="29" t="e">
        <v>#N/A</v>
      </c>
      <c r="U244" s="21" t="s">
        <v>113</v>
      </c>
    </row>
    <row r="245" hidden="1">
      <c r="A245" s="30">
        <v>7.290002022152E12</v>
      </c>
      <c r="B245" s="20" t="s">
        <v>586</v>
      </c>
      <c r="C245" s="21">
        <v>0.14</v>
      </c>
      <c r="D245" s="21">
        <v>0.24</v>
      </c>
      <c r="E245" s="21">
        <v>0.04</v>
      </c>
      <c r="F245" s="22">
        <v>8.0</v>
      </c>
      <c r="G245" s="23"/>
      <c r="H245" s="24" t="s">
        <v>587</v>
      </c>
      <c r="I245" s="21" t="s">
        <v>588</v>
      </c>
      <c r="J245" s="24" t="s">
        <v>589</v>
      </c>
      <c r="K245" s="21" t="s">
        <v>590</v>
      </c>
      <c r="L245" s="25" t="s">
        <v>591</v>
      </c>
      <c r="M245" s="26" t="s">
        <v>37</v>
      </c>
      <c r="N245" s="24" t="s">
        <v>592</v>
      </c>
      <c r="O245" s="24" t="s">
        <v>593</v>
      </c>
      <c r="P245" s="27"/>
      <c r="Q245" s="27"/>
      <c r="R245" s="28" t="s">
        <v>594</v>
      </c>
      <c r="S245" s="33" t="s">
        <v>595</v>
      </c>
      <c r="T245" s="29" t="e">
        <v>#N/A</v>
      </c>
      <c r="U245" s="24"/>
    </row>
    <row r="246" hidden="1">
      <c r="A246" s="30">
        <v>8.000380003761E12</v>
      </c>
      <c r="B246" s="20" t="s">
        <v>2393</v>
      </c>
      <c r="C246" s="21">
        <v>0.245</v>
      </c>
      <c r="D246" s="21">
        <v>0.075</v>
      </c>
      <c r="E246" s="21">
        <v>0.05</v>
      </c>
      <c r="F246" s="22">
        <v>6.0</v>
      </c>
      <c r="G246" s="23"/>
      <c r="H246" s="24" t="s">
        <v>2359</v>
      </c>
      <c r="I246" s="21" t="s">
        <v>2360</v>
      </c>
      <c r="J246" s="24" t="s">
        <v>2394</v>
      </c>
      <c r="K246" s="21" t="s">
        <v>2395</v>
      </c>
      <c r="L246" s="25" t="s">
        <v>2396</v>
      </c>
      <c r="M246" s="26" t="s">
        <v>28</v>
      </c>
      <c r="N246" s="24" t="s">
        <v>185</v>
      </c>
      <c r="O246" s="24" t="s">
        <v>186</v>
      </c>
      <c r="P246" s="27"/>
      <c r="Q246" s="27"/>
      <c r="R246" s="28" t="s">
        <v>2397</v>
      </c>
      <c r="S246" s="8" t="s">
        <v>2398</v>
      </c>
      <c r="T246" s="29" t="s">
        <v>2360</v>
      </c>
      <c r="U246" s="24"/>
    </row>
    <row r="247" hidden="1">
      <c r="A247" s="30">
        <v>8.000380153442E12</v>
      </c>
      <c r="B247" s="20" t="s">
        <v>2449</v>
      </c>
      <c r="C247" s="21">
        <v>0.195</v>
      </c>
      <c r="D247" s="21">
        <v>0.07</v>
      </c>
      <c r="E247" s="21">
        <v>0.02</v>
      </c>
      <c r="F247" s="22">
        <v>15.0</v>
      </c>
      <c r="G247" s="23"/>
      <c r="H247" s="24" t="s">
        <v>2359</v>
      </c>
      <c r="I247" s="21" t="s">
        <v>2360</v>
      </c>
      <c r="J247" s="24" t="s">
        <v>2450</v>
      </c>
      <c r="K247" s="21" t="s">
        <v>2451</v>
      </c>
      <c r="L247" s="25" t="s">
        <v>2452</v>
      </c>
      <c r="M247" s="26" t="s">
        <v>28</v>
      </c>
      <c r="N247" s="24" t="s">
        <v>185</v>
      </c>
      <c r="O247" s="24" t="s">
        <v>226</v>
      </c>
      <c r="P247" s="27"/>
      <c r="Q247" s="27"/>
      <c r="R247" s="28" t="s">
        <v>2453</v>
      </c>
      <c r="S247" s="8" t="s">
        <v>2454</v>
      </c>
      <c r="T247" s="29" t="s">
        <v>2360</v>
      </c>
      <c r="U247" s="24"/>
    </row>
    <row r="248" hidden="1">
      <c r="A248" s="30">
        <v>8.000380007219E12</v>
      </c>
      <c r="B248" s="20" t="s">
        <v>2424</v>
      </c>
      <c r="C248" s="21">
        <v>0.265</v>
      </c>
      <c r="D248" s="21">
        <v>0.09999999</v>
      </c>
      <c r="E248" s="21">
        <v>0.02</v>
      </c>
      <c r="F248" s="22">
        <v>15.0</v>
      </c>
      <c r="G248" s="23"/>
      <c r="H248" s="24" t="s">
        <v>2359</v>
      </c>
      <c r="I248" s="21" t="s">
        <v>2360</v>
      </c>
      <c r="J248" s="24" t="s">
        <v>2425</v>
      </c>
      <c r="K248" s="21" t="s">
        <v>2426</v>
      </c>
      <c r="L248" s="25" t="s">
        <v>2427</v>
      </c>
      <c r="M248" s="26" t="s">
        <v>28</v>
      </c>
      <c r="N248" s="24" t="s">
        <v>185</v>
      </c>
      <c r="O248" s="24" t="s">
        <v>226</v>
      </c>
      <c r="P248" s="27"/>
      <c r="Q248" s="27"/>
      <c r="R248" s="28" t="s">
        <v>2428</v>
      </c>
      <c r="S248" s="8" t="s">
        <v>2429</v>
      </c>
      <c r="T248" s="29" t="s">
        <v>2360</v>
      </c>
      <c r="U248" s="24"/>
    </row>
    <row r="249" hidden="1">
      <c r="A249" s="30">
        <v>8.000380153466E12</v>
      </c>
      <c r="B249" s="20" t="s">
        <v>2368</v>
      </c>
      <c r="C249" s="21">
        <v>0.195</v>
      </c>
      <c r="D249" s="21">
        <v>0.07</v>
      </c>
      <c r="E249" s="21">
        <v>0.02</v>
      </c>
      <c r="F249" s="22">
        <v>15.0</v>
      </c>
      <c r="G249" s="23"/>
      <c r="H249" s="24" t="s">
        <v>2359</v>
      </c>
      <c r="I249" s="21" t="s">
        <v>2360</v>
      </c>
      <c r="J249" s="24" t="s">
        <v>2369</v>
      </c>
      <c r="K249" s="21" t="s">
        <v>2370</v>
      </c>
      <c r="L249" s="25" t="s">
        <v>2371</v>
      </c>
      <c r="M249" s="26" t="s">
        <v>28</v>
      </c>
      <c r="N249" s="24" t="s">
        <v>185</v>
      </c>
      <c r="O249" s="24" t="s">
        <v>195</v>
      </c>
      <c r="P249" s="27"/>
      <c r="Q249" s="27"/>
      <c r="R249" s="31" t="s">
        <v>2372</v>
      </c>
      <c r="S249" s="33" t="s">
        <v>2373</v>
      </c>
      <c r="T249" s="29" t="s">
        <v>2360</v>
      </c>
      <c r="U249" s="24"/>
    </row>
    <row r="250" hidden="1">
      <c r="A250" s="30">
        <v>8.000380007257E12</v>
      </c>
      <c r="B250" s="20" t="s">
        <v>2430</v>
      </c>
      <c r="C250" s="21">
        <v>0.26</v>
      </c>
      <c r="D250" s="21">
        <v>0.09999999</v>
      </c>
      <c r="E250" s="21">
        <v>0.02</v>
      </c>
      <c r="F250" s="22">
        <v>15.0</v>
      </c>
      <c r="G250" s="23"/>
      <c r="H250" s="24" t="s">
        <v>2359</v>
      </c>
      <c r="I250" s="21" t="s">
        <v>2360</v>
      </c>
      <c r="J250" s="24" t="s">
        <v>2431</v>
      </c>
      <c r="K250" s="21" t="s">
        <v>2432</v>
      </c>
      <c r="L250" s="25" t="s">
        <v>2433</v>
      </c>
      <c r="M250" s="26" t="s">
        <v>28</v>
      </c>
      <c r="N250" s="24" t="s">
        <v>185</v>
      </c>
      <c r="O250" s="24" t="s">
        <v>186</v>
      </c>
      <c r="P250" s="27"/>
      <c r="Q250" s="27"/>
      <c r="R250" s="28" t="s">
        <v>2434</v>
      </c>
      <c r="S250" s="8" t="s">
        <v>2435</v>
      </c>
      <c r="T250" s="29" t="s">
        <v>2360</v>
      </c>
      <c r="U250" s="24"/>
    </row>
    <row r="251" hidden="1">
      <c r="A251" s="30">
        <v>8.000380003723E12</v>
      </c>
      <c r="B251" s="20" t="s">
        <v>2436</v>
      </c>
      <c r="C251" s="21">
        <v>0.245</v>
      </c>
      <c r="D251" s="21">
        <v>0.075</v>
      </c>
      <c r="E251" s="21">
        <v>0.02</v>
      </c>
      <c r="F251" s="22">
        <v>15.0</v>
      </c>
      <c r="G251" s="23"/>
      <c r="H251" s="24" t="s">
        <v>2359</v>
      </c>
      <c r="I251" s="21" t="s">
        <v>2360</v>
      </c>
      <c r="J251" s="24" t="s">
        <v>2437</v>
      </c>
      <c r="K251" s="21" t="s">
        <v>2438</v>
      </c>
      <c r="L251" s="25" t="s">
        <v>2439</v>
      </c>
      <c r="M251" s="26" t="s">
        <v>28</v>
      </c>
      <c r="N251" s="24" t="s">
        <v>185</v>
      </c>
      <c r="O251" s="24" t="s">
        <v>186</v>
      </c>
      <c r="P251" s="27"/>
      <c r="Q251" s="27"/>
      <c r="R251" s="28" t="s">
        <v>2440</v>
      </c>
      <c r="S251" s="8" t="s">
        <v>2441</v>
      </c>
      <c r="T251" s="29" t="s">
        <v>2360</v>
      </c>
      <c r="U251" s="24"/>
    </row>
    <row r="252" hidden="1">
      <c r="A252" s="30">
        <v>8.000380004676E12</v>
      </c>
      <c r="B252" s="20" t="s">
        <v>2455</v>
      </c>
      <c r="C252" s="21">
        <v>0.128</v>
      </c>
      <c r="D252" s="21">
        <v>0.22</v>
      </c>
      <c r="E252" s="21">
        <v>0.073</v>
      </c>
      <c r="F252" s="22">
        <v>4.0</v>
      </c>
      <c r="G252" s="23"/>
      <c r="H252" s="24" t="s">
        <v>2359</v>
      </c>
      <c r="I252" s="21" t="s">
        <v>2360</v>
      </c>
      <c r="J252" s="24" t="s">
        <v>2456</v>
      </c>
      <c r="K252" s="21" t="s">
        <v>2457</v>
      </c>
      <c r="L252" s="25" t="s">
        <v>2458</v>
      </c>
      <c r="M252" s="26" t="s">
        <v>28</v>
      </c>
      <c r="N252" s="24" t="s">
        <v>185</v>
      </c>
      <c r="O252" s="24" t="s">
        <v>2409</v>
      </c>
      <c r="P252" s="27"/>
      <c r="Q252" s="27"/>
      <c r="R252" s="31" t="s">
        <v>2459</v>
      </c>
      <c r="S252" s="33" t="s">
        <v>2460</v>
      </c>
      <c r="T252" s="29" t="s">
        <v>2360</v>
      </c>
      <c r="U252" s="24"/>
    </row>
    <row r="253" hidden="1">
      <c r="A253" s="30">
        <v>8.000380180745E12</v>
      </c>
      <c r="B253" s="20" t="s">
        <v>2418</v>
      </c>
      <c r="C253" s="21">
        <v>0.13</v>
      </c>
      <c r="D253" s="21">
        <v>0.2</v>
      </c>
      <c r="E253" s="21">
        <v>0.07</v>
      </c>
      <c r="F253" s="22">
        <v>4.0</v>
      </c>
      <c r="G253" s="23"/>
      <c r="H253" s="24" t="s">
        <v>2359</v>
      </c>
      <c r="I253" s="21" t="s">
        <v>2360</v>
      </c>
      <c r="J253" s="24" t="s">
        <v>2419</v>
      </c>
      <c r="K253" s="21" t="s">
        <v>2420</v>
      </c>
      <c r="L253" s="25" t="s">
        <v>2421</v>
      </c>
      <c r="M253" s="26" t="s">
        <v>28</v>
      </c>
      <c r="N253" s="24" t="s">
        <v>185</v>
      </c>
      <c r="O253" s="24" t="s">
        <v>2409</v>
      </c>
      <c r="P253" s="27"/>
      <c r="Q253" s="27"/>
      <c r="R253" s="31" t="s">
        <v>2422</v>
      </c>
      <c r="S253" s="33" t="s">
        <v>2423</v>
      </c>
      <c r="T253" s="29" t="s">
        <v>2360</v>
      </c>
      <c r="U253" s="24"/>
    </row>
    <row r="254" hidden="1">
      <c r="A254" s="30">
        <v>8.000380004966E12</v>
      </c>
      <c r="B254" s="20" t="s">
        <v>2412</v>
      </c>
      <c r="C254" s="21">
        <v>0.13</v>
      </c>
      <c r="D254" s="21">
        <v>0.2</v>
      </c>
      <c r="E254" s="21">
        <v>0.07</v>
      </c>
      <c r="F254" s="22">
        <v>4.0</v>
      </c>
      <c r="G254" s="23"/>
      <c r="H254" s="24" t="s">
        <v>2359</v>
      </c>
      <c r="I254" s="21" t="s">
        <v>2360</v>
      </c>
      <c r="J254" s="24" t="s">
        <v>2413</v>
      </c>
      <c r="K254" s="21" t="s">
        <v>2414</v>
      </c>
      <c r="L254" s="25" t="s">
        <v>2415</v>
      </c>
      <c r="M254" s="26" t="s">
        <v>28</v>
      </c>
      <c r="N254" s="24" t="s">
        <v>185</v>
      </c>
      <c r="O254" s="24" t="s">
        <v>2409</v>
      </c>
      <c r="P254" s="27"/>
      <c r="Q254" s="27"/>
      <c r="R254" s="31" t="s">
        <v>2416</v>
      </c>
      <c r="S254" s="33" t="s">
        <v>2417</v>
      </c>
      <c r="T254" s="29" t="s">
        <v>2360</v>
      </c>
      <c r="U254" s="24"/>
    </row>
    <row r="255" hidden="1">
      <c r="A255" s="30">
        <v>8.000380004911E12</v>
      </c>
      <c r="B255" s="20" t="s">
        <v>2405</v>
      </c>
      <c r="C255" s="21">
        <v>0.13</v>
      </c>
      <c r="D255" s="21">
        <v>0.2</v>
      </c>
      <c r="E255" s="21">
        <v>0.07</v>
      </c>
      <c r="F255" s="22">
        <v>4.0</v>
      </c>
      <c r="G255" s="23"/>
      <c r="H255" s="24" t="s">
        <v>2359</v>
      </c>
      <c r="I255" s="21" t="s">
        <v>2360</v>
      </c>
      <c r="J255" s="24" t="s">
        <v>2406</v>
      </c>
      <c r="K255" s="21" t="s">
        <v>2407</v>
      </c>
      <c r="L255" s="25" t="s">
        <v>2408</v>
      </c>
      <c r="M255" s="26" t="s">
        <v>28</v>
      </c>
      <c r="N255" s="24" t="s">
        <v>185</v>
      </c>
      <c r="O255" s="24" t="s">
        <v>2409</v>
      </c>
      <c r="P255" s="27"/>
      <c r="Q255" s="27"/>
      <c r="R255" s="28" t="s">
        <v>2410</v>
      </c>
      <c r="S255" s="8" t="s">
        <v>2411</v>
      </c>
      <c r="T255" s="29" t="s">
        <v>2360</v>
      </c>
      <c r="U255" s="24"/>
    </row>
    <row r="256" hidden="1">
      <c r="A256" s="30">
        <v>8.0001485E7</v>
      </c>
      <c r="B256" s="20" t="s">
        <v>2374</v>
      </c>
      <c r="C256" s="21">
        <v>0.09999999</v>
      </c>
      <c r="D256" s="21">
        <v>0.045</v>
      </c>
      <c r="E256" s="21">
        <v>0.02</v>
      </c>
      <c r="F256" s="22">
        <v>15.0</v>
      </c>
      <c r="G256" s="23"/>
      <c r="H256" s="24" t="s">
        <v>2359</v>
      </c>
      <c r="I256" s="21" t="s">
        <v>2360</v>
      </c>
      <c r="J256" s="24" t="s">
        <v>2375</v>
      </c>
      <c r="K256" s="21" t="s">
        <v>2376</v>
      </c>
      <c r="L256" s="25" t="s">
        <v>2377</v>
      </c>
      <c r="M256" s="26" t="s">
        <v>28</v>
      </c>
      <c r="N256" s="24" t="s">
        <v>501</v>
      </c>
      <c r="O256" s="24" t="s">
        <v>502</v>
      </c>
      <c r="P256" s="27"/>
      <c r="Q256" s="27"/>
      <c r="R256" s="31" t="s">
        <v>2378</v>
      </c>
      <c r="S256" s="33" t="s">
        <v>2379</v>
      </c>
      <c r="T256" s="29" t="s">
        <v>2380</v>
      </c>
      <c r="U256" s="24"/>
    </row>
    <row r="257" hidden="1">
      <c r="A257" s="30">
        <v>8.0001461E7</v>
      </c>
      <c r="B257" s="20" t="s">
        <v>2387</v>
      </c>
      <c r="C257" s="21">
        <v>0.09999999</v>
      </c>
      <c r="D257" s="21">
        <v>0.045</v>
      </c>
      <c r="E257" s="21">
        <v>0.02</v>
      </c>
      <c r="F257" s="22">
        <v>15.0</v>
      </c>
      <c r="G257" s="23"/>
      <c r="H257" s="24" t="s">
        <v>2359</v>
      </c>
      <c r="I257" s="21" t="s">
        <v>2360</v>
      </c>
      <c r="J257" s="24" t="s">
        <v>2388</v>
      </c>
      <c r="K257" s="21" t="s">
        <v>2389</v>
      </c>
      <c r="L257" s="25" t="s">
        <v>2390</v>
      </c>
      <c r="M257" s="26" t="s">
        <v>28</v>
      </c>
      <c r="N257" s="24" t="s">
        <v>501</v>
      </c>
      <c r="O257" s="24" t="s">
        <v>502</v>
      </c>
      <c r="P257" s="27"/>
      <c r="Q257" s="27"/>
      <c r="R257" s="31" t="s">
        <v>2391</v>
      </c>
      <c r="S257" s="8" t="s">
        <v>2392</v>
      </c>
      <c r="T257" s="29" t="s">
        <v>2380</v>
      </c>
      <c r="U257" s="24"/>
    </row>
    <row r="258" hidden="1">
      <c r="A258" s="30">
        <v>8.0001027E7</v>
      </c>
      <c r="B258" s="20" t="s">
        <v>2442</v>
      </c>
      <c r="C258" s="21">
        <v>0.095</v>
      </c>
      <c r="D258" s="21">
        <v>0.065</v>
      </c>
      <c r="E258" s="21">
        <v>0.02</v>
      </c>
      <c r="F258" s="22">
        <v>15.0</v>
      </c>
      <c r="G258" s="23"/>
      <c r="H258" s="24" t="s">
        <v>2359</v>
      </c>
      <c r="I258" s="21" t="s">
        <v>2360</v>
      </c>
      <c r="J258" s="24" t="s">
        <v>2443</v>
      </c>
      <c r="K258" s="21" t="s">
        <v>2444</v>
      </c>
      <c r="L258" s="25" t="s">
        <v>2445</v>
      </c>
      <c r="M258" s="26" t="s">
        <v>28</v>
      </c>
      <c r="N258" s="24" t="s">
        <v>501</v>
      </c>
      <c r="O258" s="24" t="s">
        <v>502</v>
      </c>
      <c r="P258" s="27"/>
      <c r="Q258" s="27"/>
      <c r="R258" s="31" t="s">
        <v>2446</v>
      </c>
      <c r="S258" s="8" t="s">
        <v>2447</v>
      </c>
      <c r="T258" s="29" t="s">
        <v>2448</v>
      </c>
      <c r="U258" s="24"/>
    </row>
    <row r="259" hidden="1">
      <c r="A259" s="30">
        <v>8.000380187119E12</v>
      </c>
      <c r="B259" s="20" t="s">
        <v>2399</v>
      </c>
      <c r="C259" s="21">
        <v>0.21</v>
      </c>
      <c r="D259" s="21">
        <v>0.09999999</v>
      </c>
      <c r="E259" s="21">
        <v>0.03</v>
      </c>
      <c r="F259" s="22">
        <v>10.0</v>
      </c>
      <c r="G259" s="23"/>
      <c r="H259" s="24" t="s">
        <v>2359</v>
      </c>
      <c r="I259" s="21" t="s">
        <v>2360</v>
      </c>
      <c r="J259" s="24" t="s">
        <v>2400</v>
      </c>
      <c r="K259" s="21" t="s">
        <v>2401</v>
      </c>
      <c r="L259" s="25" t="s">
        <v>2402</v>
      </c>
      <c r="M259" s="26" t="s">
        <v>28</v>
      </c>
      <c r="N259" s="24" t="s">
        <v>2364</v>
      </c>
      <c r="O259" s="24" t="s">
        <v>2365</v>
      </c>
      <c r="P259" s="27"/>
      <c r="Q259" s="27"/>
      <c r="R259" s="28" t="s">
        <v>2403</v>
      </c>
      <c r="S259" s="8" t="s">
        <v>2404</v>
      </c>
      <c r="T259" s="29" t="s">
        <v>2360</v>
      </c>
      <c r="U259" s="24"/>
    </row>
    <row r="260" hidden="1">
      <c r="A260" s="30">
        <v>8.0003801873E12</v>
      </c>
      <c r="B260" s="20" t="s">
        <v>2381</v>
      </c>
      <c r="C260" s="21">
        <v>0.245</v>
      </c>
      <c r="D260" s="21">
        <v>0.072</v>
      </c>
      <c r="E260" s="21">
        <v>0.035</v>
      </c>
      <c r="F260" s="22">
        <v>9.0</v>
      </c>
      <c r="G260" s="23"/>
      <c r="H260" s="24" t="s">
        <v>2359</v>
      </c>
      <c r="I260" s="21" t="s">
        <v>2360</v>
      </c>
      <c r="J260" s="24" t="s">
        <v>2382</v>
      </c>
      <c r="K260" s="21" t="s">
        <v>2383</v>
      </c>
      <c r="L260" s="25" t="s">
        <v>2384</v>
      </c>
      <c r="M260" s="26" t="s">
        <v>28</v>
      </c>
      <c r="N260" s="24" t="s">
        <v>2364</v>
      </c>
      <c r="O260" s="24" t="s">
        <v>2365</v>
      </c>
      <c r="P260" s="27"/>
      <c r="Q260" s="27"/>
      <c r="R260" s="31" t="s">
        <v>2385</v>
      </c>
      <c r="S260" s="33" t="s">
        <v>2386</v>
      </c>
      <c r="T260" s="29" t="s">
        <v>2360</v>
      </c>
      <c r="U260" s="24"/>
    </row>
    <row r="261" hidden="1">
      <c r="A261" s="30">
        <v>8.000380187249E12</v>
      </c>
      <c r="B261" s="20" t="s">
        <v>2358</v>
      </c>
      <c r="C261" s="21">
        <v>0.21</v>
      </c>
      <c r="D261" s="21">
        <v>0.09999999</v>
      </c>
      <c r="E261" s="21">
        <v>0.03</v>
      </c>
      <c r="F261" s="22">
        <v>10.0</v>
      </c>
      <c r="G261" s="23"/>
      <c r="H261" s="24" t="s">
        <v>2359</v>
      </c>
      <c r="I261" s="21" t="s">
        <v>2360</v>
      </c>
      <c r="J261" s="24" t="s">
        <v>2361</v>
      </c>
      <c r="K261" s="21" t="s">
        <v>2362</v>
      </c>
      <c r="L261" s="25" t="s">
        <v>2363</v>
      </c>
      <c r="M261" s="26" t="s">
        <v>28</v>
      </c>
      <c r="N261" s="24" t="s">
        <v>2364</v>
      </c>
      <c r="O261" s="24" t="s">
        <v>2365</v>
      </c>
      <c r="P261" s="27"/>
      <c r="Q261" s="27"/>
      <c r="R261" s="28" t="s">
        <v>2366</v>
      </c>
      <c r="S261" s="8" t="s">
        <v>2367</v>
      </c>
      <c r="T261" s="29" t="s">
        <v>2360</v>
      </c>
      <c r="U261" s="24"/>
    </row>
    <row r="262" hidden="1">
      <c r="A262" s="30">
        <v>5.410126006339E12</v>
      </c>
      <c r="B262" s="20" t="s">
        <v>5192</v>
      </c>
      <c r="C262" s="21">
        <v>0.15</v>
      </c>
      <c r="D262" s="21">
        <v>0.08</v>
      </c>
      <c r="E262" s="21">
        <v>0.03</v>
      </c>
      <c r="F262" s="22">
        <v>10.0</v>
      </c>
      <c r="G262" s="23"/>
      <c r="H262" s="24" t="s">
        <v>2462</v>
      </c>
      <c r="I262" s="21" t="s">
        <v>5193</v>
      </c>
      <c r="J262" s="24" t="s">
        <v>2464</v>
      </c>
      <c r="K262" s="21" t="s">
        <v>2465</v>
      </c>
      <c r="L262" s="25" t="s">
        <v>2466</v>
      </c>
      <c r="M262" s="26" t="s">
        <v>28</v>
      </c>
      <c r="N262" s="24" t="s">
        <v>2364</v>
      </c>
      <c r="O262" s="24" t="s">
        <v>2467</v>
      </c>
      <c r="P262" s="27"/>
      <c r="Q262" s="27"/>
      <c r="R262" s="31" t="s">
        <v>2468</v>
      </c>
      <c r="S262" s="8" t="s">
        <v>2469</v>
      </c>
      <c r="T262" s="29" t="s">
        <v>2470</v>
      </c>
      <c r="U262" s="24"/>
    </row>
    <row r="263" hidden="1">
      <c r="A263" s="30">
        <v>7.290000074481E12</v>
      </c>
      <c r="B263" s="20" t="s">
        <v>2316</v>
      </c>
      <c r="C263" s="21">
        <v>0.14</v>
      </c>
      <c r="D263" s="21">
        <v>0.135</v>
      </c>
      <c r="E263" s="21">
        <v>0.044</v>
      </c>
      <c r="F263" s="22">
        <v>7.0</v>
      </c>
      <c r="G263" s="23"/>
      <c r="H263" s="24" t="s">
        <v>2317</v>
      </c>
      <c r="I263" s="21" t="s">
        <v>2318</v>
      </c>
      <c r="J263" s="24" t="s">
        <v>2319</v>
      </c>
      <c r="K263" s="21" t="s">
        <v>2320</v>
      </c>
      <c r="L263" s="25" t="s">
        <v>2321</v>
      </c>
      <c r="M263" s="26" t="s">
        <v>37</v>
      </c>
      <c r="N263" s="24" t="s">
        <v>954</v>
      </c>
      <c r="O263" s="24" t="s">
        <v>2317</v>
      </c>
      <c r="P263" s="27"/>
      <c r="Q263" s="27"/>
      <c r="R263" s="28" t="s">
        <v>2322</v>
      </c>
      <c r="S263" s="8" t="s">
        <v>2323</v>
      </c>
      <c r="T263" s="29" t="e">
        <v>#N/A</v>
      </c>
      <c r="U263" s="24"/>
    </row>
    <row r="264" hidden="1">
      <c r="A264" s="30">
        <v>7.290000075204E12</v>
      </c>
      <c r="B264" s="20" t="s">
        <v>2330</v>
      </c>
      <c r="C264" s="21">
        <v>0.14</v>
      </c>
      <c r="D264" s="21">
        <v>0.13</v>
      </c>
      <c r="E264" s="21">
        <v>0.044</v>
      </c>
      <c r="F264" s="22">
        <v>7.0</v>
      </c>
      <c r="G264" s="23"/>
      <c r="H264" s="24" t="s">
        <v>2317</v>
      </c>
      <c r="I264" s="21" t="s">
        <v>2318</v>
      </c>
      <c r="J264" s="24" t="s">
        <v>2331</v>
      </c>
      <c r="K264" s="21" t="s">
        <v>2332</v>
      </c>
      <c r="L264" s="25" t="s">
        <v>2333</v>
      </c>
      <c r="M264" s="26" t="s">
        <v>37</v>
      </c>
      <c r="N264" s="24" t="s">
        <v>954</v>
      </c>
      <c r="O264" s="24" t="s">
        <v>2317</v>
      </c>
      <c r="P264" s="27"/>
      <c r="Q264" s="27"/>
      <c r="R264" s="28" t="s">
        <v>2334</v>
      </c>
      <c r="S264" s="8" t="s">
        <v>2335</v>
      </c>
      <c r="T264" s="29" t="e">
        <v>#N/A</v>
      </c>
      <c r="U264" s="24"/>
    </row>
    <row r="265" hidden="1">
      <c r="A265" s="30">
        <v>7.290000077253E12</v>
      </c>
      <c r="B265" s="20" t="s">
        <v>2336</v>
      </c>
      <c r="C265" s="21">
        <v>0.14</v>
      </c>
      <c r="D265" s="21">
        <v>0.13</v>
      </c>
      <c r="E265" s="21">
        <v>0.044</v>
      </c>
      <c r="F265" s="22">
        <v>7.0</v>
      </c>
      <c r="G265" s="23"/>
      <c r="H265" s="24" t="s">
        <v>2317</v>
      </c>
      <c r="I265" s="21" t="s">
        <v>2318</v>
      </c>
      <c r="J265" s="24" t="s">
        <v>2337</v>
      </c>
      <c r="K265" s="21" t="s">
        <v>2338</v>
      </c>
      <c r="L265" s="25" t="s">
        <v>2339</v>
      </c>
      <c r="M265" s="26" t="s">
        <v>37</v>
      </c>
      <c r="N265" s="24" t="s">
        <v>954</v>
      </c>
      <c r="O265" s="24" t="s">
        <v>2317</v>
      </c>
      <c r="P265" s="27"/>
      <c r="Q265" s="27"/>
      <c r="R265" s="28" t="s">
        <v>2340</v>
      </c>
      <c r="S265" s="8" t="s">
        <v>2341</v>
      </c>
      <c r="T265" s="29" t="e">
        <v>#N/A</v>
      </c>
      <c r="U265" s="24"/>
    </row>
    <row r="266" hidden="1">
      <c r="A266" s="30">
        <v>7.290006983176E12</v>
      </c>
      <c r="B266" s="20" t="s">
        <v>2324</v>
      </c>
      <c r="C266" s="21">
        <v>0.14</v>
      </c>
      <c r="D266" s="21">
        <v>0.135</v>
      </c>
      <c r="E266" s="21">
        <v>0.044</v>
      </c>
      <c r="F266" s="22">
        <v>7.0</v>
      </c>
      <c r="G266" s="23"/>
      <c r="H266" s="24" t="s">
        <v>2317</v>
      </c>
      <c r="I266" s="21" t="s">
        <v>2318</v>
      </c>
      <c r="J266" s="24" t="s">
        <v>2325</v>
      </c>
      <c r="K266" s="21" t="s">
        <v>2326</v>
      </c>
      <c r="L266" s="25" t="s">
        <v>2327</v>
      </c>
      <c r="M266" s="26" t="s">
        <v>37</v>
      </c>
      <c r="N266" s="24" t="s">
        <v>954</v>
      </c>
      <c r="O266" s="24" t="s">
        <v>2317</v>
      </c>
      <c r="P266" s="27"/>
      <c r="Q266" s="27"/>
      <c r="R266" s="28" t="s">
        <v>2328</v>
      </c>
      <c r="S266" s="8" t="s">
        <v>2329</v>
      </c>
      <c r="T266" s="29" t="e">
        <v>#N/A</v>
      </c>
      <c r="U266" s="24"/>
    </row>
    <row r="267" hidden="1">
      <c r="A267" s="30">
        <v>7.29001406638E12</v>
      </c>
      <c r="B267" s="20" t="s">
        <v>5194</v>
      </c>
      <c r="C267" s="21">
        <v>0.075</v>
      </c>
      <c r="D267" s="21">
        <v>0.195</v>
      </c>
      <c r="E267" s="21">
        <v>0.03</v>
      </c>
      <c r="F267" s="22">
        <v>10.0</v>
      </c>
      <c r="G267" s="23"/>
      <c r="H267" s="24" t="s">
        <v>2343</v>
      </c>
      <c r="I267" s="21" t="s">
        <v>5195</v>
      </c>
      <c r="J267" s="24" t="s">
        <v>2345</v>
      </c>
      <c r="K267" s="21" t="s">
        <v>2346</v>
      </c>
      <c r="L267" s="25" t="s">
        <v>2347</v>
      </c>
      <c r="M267" s="26" t="s">
        <v>28</v>
      </c>
      <c r="N267" s="24" t="s">
        <v>1222</v>
      </c>
      <c r="O267" s="24" t="s">
        <v>1223</v>
      </c>
      <c r="P267" s="27"/>
      <c r="Q267" s="27"/>
      <c r="R267" s="28" t="s">
        <v>2348</v>
      </c>
      <c r="S267" s="33" t="s">
        <v>2349</v>
      </c>
      <c r="T267" s="29" t="s">
        <v>2350</v>
      </c>
      <c r="U267" s="24"/>
    </row>
    <row r="268" hidden="1">
      <c r="A268" s="30">
        <v>7.290014066373E12</v>
      </c>
      <c r="B268" s="20" t="s">
        <v>5196</v>
      </c>
      <c r="C268" s="21">
        <v>0.075</v>
      </c>
      <c r="D268" s="21">
        <v>0.195</v>
      </c>
      <c r="E268" s="21">
        <v>0.03</v>
      </c>
      <c r="F268" s="22">
        <v>10.0</v>
      </c>
      <c r="G268" s="23"/>
      <c r="H268" s="24" t="s">
        <v>2343</v>
      </c>
      <c r="I268" s="21" t="s">
        <v>5195</v>
      </c>
      <c r="J268" s="24" t="s">
        <v>2353</v>
      </c>
      <c r="K268" s="21" t="s">
        <v>2354</v>
      </c>
      <c r="L268" s="25" t="s">
        <v>2355</v>
      </c>
      <c r="M268" s="26" t="s">
        <v>28</v>
      </c>
      <c r="N268" s="24" t="s">
        <v>1222</v>
      </c>
      <c r="O268" s="24" t="s">
        <v>1223</v>
      </c>
      <c r="P268" s="27"/>
      <c r="Q268" s="27"/>
      <c r="R268" s="33" t="s">
        <v>2356</v>
      </c>
      <c r="S268" s="33" t="s">
        <v>2357</v>
      </c>
      <c r="T268" s="29" t="s">
        <v>2350</v>
      </c>
      <c r="U268" s="24"/>
    </row>
    <row r="269" hidden="1">
      <c r="A269" s="30">
        <v>7.290008750264E12</v>
      </c>
      <c r="B269" s="20" t="s">
        <v>2860</v>
      </c>
      <c r="C269" s="21">
        <v>0.046</v>
      </c>
      <c r="D269" s="21">
        <v>0.076</v>
      </c>
      <c r="E269" s="21">
        <v>0.02</v>
      </c>
      <c r="F269" s="22">
        <v>15.0</v>
      </c>
      <c r="G269" s="23"/>
      <c r="H269" s="24" t="s">
        <v>2861</v>
      </c>
      <c r="I269" s="21" t="s">
        <v>2862</v>
      </c>
      <c r="J269" s="24" t="s">
        <v>2863</v>
      </c>
      <c r="K269" s="21" t="s">
        <v>2864</v>
      </c>
      <c r="L269" s="25" t="s">
        <v>2865</v>
      </c>
      <c r="M269" s="26" t="s">
        <v>37</v>
      </c>
      <c r="N269" s="24" t="s">
        <v>309</v>
      </c>
      <c r="O269" s="24" t="s">
        <v>310</v>
      </c>
      <c r="P269" s="27"/>
      <c r="Q269" s="27"/>
      <c r="R269" s="31" t="s">
        <v>2866</v>
      </c>
      <c r="S269" s="8" t="s">
        <v>2867</v>
      </c>
      <c r="T269" s="29" t="e">
        <v>#N/A</v>
      </c>
      <c r="U269" s="24"/>
    </row>
    <row r="270" hidden="1">
      <c r="A270" s="30">
        <v>7.290104068539E12</v>
      </c>
      <c r="B270" s="20" t="s">
        <v>2868</v>
      </c>
      <c r="C270" s="21">
        <v>0.046</v>
      </c>
      <c r="D270" s="21">
        <v>0.076</v>
      </c>
      <c r="E270" s="21">
        <v>0.02</v>
      </c>
      <c r="F270" s="22">
        <v>15.0</v>
      </c>
      <c r="G270" s="23"/>
      <c r="H270" s="24" t="s">
        <v>2861</v>
      </c>
      <c r="I270" s="21" t="s">
        <v>2862</v>
      </c>
      <c r="J270" s="24" t="s">
        <v>2869</v>
      </c>
      <c r="K270" s="21" t="s">
        <v>2870</v>
      </c>
      <c r="L270" s="25" t="s">
        <v>2871</v>
      </c>
      <c r="M270" s="26" t="s">
        <v>28</v>
      </c>
      <c r="N270" s="24" t="s">
        <v>309</v>
      </c>
      <c r="O270" s="24" t="s">
        <v>310</v>
      </c>
      <c r="P270" s="27"/>
      <c r="Q270" s="27"/>
      <c r="R270" s="31" t="s">
        <v>2872</v>
      </c>
      <c r="S270" s="33" t="s">
        <v>2873</v>
      </c>
      <c r="T270" s="29" t="s">
        <v>2862</v>
      </c>
      <c r="U270" s="24"/>
    </row>
    <row r="271" hidden="1">
      <c r="A271" s="30">
        <v>7.290008754415E12</v>
      </c>
      <c r="B271" s="20" t="s">
        <v>2889</v>
      </c>
      <c r="C271" s="21">
        <v>0.046</v>
      </c>
      <c r="D271" s="21">
        <v>0.076</v>
      </c>
      <c r="E271" s="21">
        <v>0.02</v>
      </c>
      <c r="F271" s="22">
        <v>15.0</v>
      </c>
      <c r="G271" s="23"/>
      <c r="H271" s="24" t="s">
        <v>2861</v>
      </c>
      <c r="I271" s="21" t="s">
        <v>2862</v>
      </c>
      <c r="J271" s="24" t="s">
        <v>2890</v>
      </c>
      <c r="K271" s="21" t="s">
        <v>2891</v>
      </c>
      <c r="L271" s="25" t="s">
        <v>2892</v>
      </c>
      <c r="M271" s="26" t="s">
        <v>37</v>
      </c>
      <c r="N271" s="24" t="s">
        <v>309</v>
      </c>
      <c r="O271" s="24" t="s">
        <v>310</v>
      </c>
      <c r="P271" s="27"/>
      <c r="Q271" s="27"/>
      <c r="R271" s="31" t="s">
        <v>2893</v>
      </c>
      <c r="S271" s="33" t="s">
        <v>2894</v>
      </c>
      <c r="T271" s="29" t="e">
        <v>#N/A</v>
      </c>
      <c r="U271" s="24"/>
    </row>
    <row r="272" hidden="1">
      <c r="A272" s="30">
        <v>7.290008754422E12</v>
      </c>
      <c r="B272" s="20" t="s">
        <v>2874</v>
      </c>
      <c r="C272" s="21">
        <v>0.045</v>
      </c>
      <c r="D272" s="21">
        <v>0.075</v>
      </c>
      <c r="E272" s="21">
        <v>0.02</v>
      </c>
      <c r="F272" s="22">
        <v>15.0</v>
      </c>
      <c r="G272" s="23"/>
      <c r="H272" s="24" t="s">
        <v>2861</v>
      </c>
      <c r="I272" s="21" t="s">
        <v>2862</v>
      </c>
      <c r="J272" s="24" t="s">
        <v>2875</v>
      </c>
      <c r="K272" s="21" t="s">
        <v>2876</v>
      </c>
      <c r="L272" s="25" t="s">
        <v>2877</v>
      </c>
      <c r="M272" s="26" t="s">
        <v>37</v>
      </c>
      <c r="N272" s="24" t="s">
        <v>309</v>
      </c>
      <c r="O272" s="24" t="s">
        <v>310</v>
      </c>
      <c r="P272" s="27"/>
      <c r="Q272" s="27"/>
      <c r="R272" s="31" t="s">
        <v>2878</v>
      </c>
      <c r="S272" s="33" t="s">
        <v>2879</v>
      </c>
      <c r="T272" s="29" t="e">
        <v>#N/A</v>
      </c>
      <c r="U272" s="24"/>
    </row>
    <row r="273" hidden="1">
      <c r="A273" s="30">
        <v>7.724511061E10</v>
      </c>
      <c r="B273" s="20" t="s">
        <v>2880</v>
      </c>
      <c r="C273" s="21">
        <v>0.12</v>
      </c>
      <c r="D273" s="21">
        <v>0.19</v>
      </c>
      <c r="E273" s="21">
        <v>0.015</v>
      </c>
      <c r="F273" s="22">
        <v>20.0</v>
      </c>
      <c r="G273" s="23"/>
      <c r="H273" s="24" t="s">
        <v>2861</v>
      </c>
      <c r="I273" s="21" t="s">
        <v>2862</v>
      </c>
      <c r="J273" s="24" t="s">
        <v>2883</v>
      </c>
      <c r="K273" s="21" t="s">
        <v>2884</v>
      </c>
      <c r="L273" s="25" t="s">
        <v>2885</v>
      </c>
      <c r="M273" s="26" t="s">
        <v>28</v>
      </c>
      <c r="N273" s="24" t="s">
        <v>2611</v>
      </c>
      <c r="O273" s="24" t="s">
        <v>2886</v>
      </c>
      <c r="P273" s="27"/>
      <c r="Q273" s="27"/>
      <c r="R273" s="28" t="s">
        <v>2887</v>
      </c>
      <c r="S273" s="8" t="s">
        <v>2888</v>
      </c>
      <c r="T273" s="29" t="s">
        <v>2862</v>
      </c>
      <c r="U273" s="24"/>
    </row>
    <row r="274" hidden="1">
      <c r="A274" s="30">
        <v>4.710068001715E12</v>
      </c>
      <c r="B274" s="20" t="s">
        <v>2582</v>
      </c>
      <c r="C274" s="21">
        <v>0.065</v>
      </c>
      <c r="D274" s="21">
        <v>0.095</v>
      </c>
      <c r="E274" s="21">
        <v>0.065</v>
      </c>
      <c r="F274" s="22">
        <v>5.0</v>
      </c>
      <c r="G274" s="23"/>
      <c r="H274" s="24" t="s">
        <v>2562</v>
      </c>
      <c r="I274" s="21" t="s">
        <v>2563</v>
      </c>
      <c r="J274" s="24" t="s">
        <v>2583</v>
      </c>
      <c r="K274" s="21" t="s">
        <v>2584</v>
      </c>
      <c r="L274" s="25" t="s">
        <v>2585</v>
      </c>
      <c r="M274" s="26" t="s">
        <v>28</v>
      </c>
      <c r="N274" s="24" t="s">
        <v>340</v>
      </c>
      <c r="O274" s="24" t="s">
        <v>341</v>
      </c>
      <c r="P274" s="27"/>
      <c r="Q274" s="27"/>
      <c r="R274" s="31" t="s">
        <v>2586</v>
      </c>
      <c r="S274" s="8" t="s">
        <v>2587</v>
      </c>
      <c r="T274" s="29" t="s">
        <v>2569</v>
      </c>
      <c r="U274" s="24"/>
    </row>
    <row r="275" hidden="1">
      <c r="A275" s="30">
        <v>4.710068001692E12</v>
      </c>
      <c r="B275" s="20" t="s">
        <v>2576</v>
      </c>
      <c r="C275" s="21">
        <v>0.065</v>
      </c>
      <c r="D275" s="21">
        <v>0.095</v>
      </c>
      <c r="E275" s="21">
        <v>0.065</v>
      </c>
      <c r="F275" s="22">
        <v>5.0</v>
      </c>
      <c r="G275" s="23"/>
      <c r="H275" s="24" t="s">
        <v>2562</v>
      </c>
      <c r="I275" s="21" t="s">
        <v>2563</v>
      </c>
      <c r="J275" s="24" t="s">
        <v>2577</v>
      </c>
      <c r="K275" s="21" t="s">
        <v>2578</v>
      </c>
      <c r="L275" s="25" t="s">
        <v>2579</v>
      </c>
      <c r="M275" s="26" t="s">
        <v>28</v>
      </c>
      <c r="N275" s="24" t="s">
        <v>340</v>
      </c>
      <c r="O275" s="24" t="s">
        <v>341</v>
      </c>
      <c r="P275" s="27"/>
      <c r="Q275" s="27"/>
      <c r="R275" s="31" t="s">
        <v>2580</v>
      </c>
      <c r="S275" s="33" t="s">
        <v>2581</v>
      </c>
      <c r="T275" s="29" t="s">
        <v>2569</v>
      </c>
      <c r="U275" s="24"/>
    </row>
    <row r="276" hidden="1">
      <c r="A276" s="30">
        <v>4.710068002798E12</v>
      </c>
      <c r="B276" s="20" t="s">
        <v>2561</v>
      </c>
      <c r="C276" s="21">
        <v>0.065</v>
      </c>
      <c r="D276" s="21">
        <v>0.095</v>
      </c>
      <c r="E276" s="21">
        <v>0.065</v>
      </c>
      <c r="F276" s="22">
        <v>5.0</v>
      </c>
      <c r="G276" s="23"/>
      <c r="H276" s="24" t="s">
        <v>2562</v>
      </c>
      <c r="I276" s="21" t="s">
        <v>2563</v>
      </c>
      <c r="J276" s="24" t="s">
        <v>2564</v>
      </c>
      <c r="K276" s="21" t="s">
        <v>2565</v>
      </c>
      <c r="L276" s="25" t="s">
        <v>2566</v>
      </c>
      <c r="M276" s="26" t="s">
        <v>28</v>
      </c>
      <c r="N276" s="24" t="s">
        <v>340</v>
      </c>
      <c r="O276" s="24" t="s">
        <v>341</v>
      </c>
      <c r="P276" s="27"/>
      <c r="Q276" s="27"/>
      <c r="R276" s="31" t="s">
        <v>2567</v>
      </c>
      <c r="S276" s="33" t="s">
        <v>2568</v>
      </c>
      <c r="T276" s="29" t="s">
        <v>2569</v>
      </c>
      <c r="U276" s="24"/>
    </row>
    <row r="277" hidden="1">
      <c r="A277" s="30">
        <v>4.710068001739E12</v>
      </c>
      <c r="B277" s="20" t="s">
        <v>2570</v>
      </c>
      <c r="C277" s="21">
        <v>0.065</v>
      </c>
      <c r="D277" s="21">
        <v>0.095</v>
      </c>
      <c r="E277" s="21">
        <v>0.065</v>
      </c>
      <c r="F277" s="22">
        <v>5.0</v>
      </c>
      <c r="G277" s="23"/>
      <c r="H277" s="24" t="s">
        <v>2562</v>
      </c>
      <c r="I277" s="21" t="s">
        <v>2563</v>
      </c>
      <c r="J277" s="24" t="s">
        <v>2571</v>
      </c>
      <c r="K277" s="21" t="s">
        <v>2572</v>
      </c>
      <c r="L277" s="25" t="s">
        <v>2573</v>
      </c>
      <c r="M277" s="26" t="s">
        <v>28</v>
      </c>
      <c r="N277" s="24" t="s">
        <v>340</v>
      </c>
      <c r="O277" s="24" t="s">
        <v>341</v>
      </c>
      <c r="P277" s="27"/>
      <c r="Q277" s="27"/>
      <c r="R277" s="31" t="s">
        <v>2574</v>
      </c>
      <c r="S277" s="33" t="s">
        <v>2575</v>
      </c>
      <c r="T277" s="29" t="s">
        <v>2569</v>
      </c>
      <c r="U277" s="24"/>
    </row>
    <row r="278" hidden="1">
      <c r="A278" s="30">
        <v>5.060517886486E12</v>
      </c>
      <c r="B278" s="20" t="s">
        <v>2842</v>
      </c>
      <c r="C278" s="21">
        <v>0.066</v>
      </c>
      <c r="D278" s="21">
        <v>0.168</v>
      </c>
      <c r="E278" s="21">
        <v>0.066</v>
      </c>
      <c r="F278" s="22">
        <v>5.0</v>
      </c>
      <c r="G278" s="23"/>
      <c r="H278" s="24" t="s">
        <v>2836</v>
      </c>
      <c r="I278" s="21" t="s">
        <v>488</v>
      </c>
      <c r="J278" s="24" t="s">
        <v>2843</v>
      </c>
      <c r="K278" s="21" t="s">
        <v>2844</v>
      </c>
      <c r="L278" s="25" t="s">
        <v>2845</v>
      </c>
      <c r="M278" s="26" t="s">
        <v>28</v>
      </c>
      <c r="N278" s="24" t="s">
        <v>340</v>
      </c>
      <c r="O278" s="24" t="s">
        <v>449</v>
      </c>
      <c r="P278" s="27"/>
      <c r="Q278" s="27"/>
      <c r="R278" s="31" t="s">
        <v>2846</v>
      </c>
      <c r="S278" s="33" t="s">
        <v>2847</v>
      </c>
      <c r="T278" s="29" t="s">
        <v>488</v>
      </c>
      <c r="U278" s="24"/>
    </row>
    <row r="279" hidden="1">
      <c r="A279" s="30">
        <v>5.060517886516E12</v>
      </c>
      <c r="B279" s="20" t="s">
        <v>2854</v>
      </c>
      <c r="C279" s="21">
        <v>0.066</v>
      </c>
      <c r="D279" s="21">
        <v>0.168</v>
      </c>
      <c r="E279" s="21">
        <v>0.066</v>
      </c>
      <c r="F279" s="22">
        <v>5.0</v>
      </c>
      <c r="G279" s="23"/>
      <c r="H279" s="24" t="s">
        <v>2836</v>
      </c>
      <c r="I279" s="21" t="s">
        <v>488</v>
      </c>
      <c r="J279" s="24" t="s">
        <v>2855</v>
      </c>
      <c r="K279" s="21" t="s">
        <v>2856</v>
      </c>
      <c r="L279" s="25" t="s">
        <v>2857</v>
      </c>
      <c r="M279" s="26" t="s">
        <v>28</v>
      </c>
      <c r="N279" s="24" t="s">
        <v>340</v>
      </c>
      <c r="O279" s="24" t="s">
        <v>449</v>
      </c>
      <c r="P279" s="27"/>
      <c r="Q279" s="27"/>
      <c r="R279" s="31" t="s">
        <v>2858</v>
      </c>
      <c r="S279" s="8" t="s">
        <v>2859</v>
      </c>
      <c r="T279" s="29" t="s">
        <v>488</v>
      </c>
      <c r="U279" s="24"/>
    </row>
    <row r="280" hidden="1">
      <c r="A280" s="30">
        <v>5.060517886547E12</v>
      </c>
      <c r="B280" s="20" t="s">
        <v>2835</v>
      </c>
      <c r="C280" s="21">
        <v>0.066</v>
      </c>
      <c r="D280" s="21">
        <v>0.168</v>
      </c>
      <c r="E280" s="21">
        <v>0.066</v>
      </c>
      <c r="F280" s="22">
        <v>5.0</v>
      </c>
      <c r="G280" s="23"/>
      <c r="H280" s="24" t="s">
        <v>2836</v>
      </c>
      <c r="I280" s="21" t="s">
        <v>488</v>
      </c>
      <c r="J280" s="24" t="s">
        <v>2837</v>
      </c>
      <c r="K280" s="21" t="s">
        <v>2838</v>
      </c>
      <c r="L280" s="25" t="s">
        <v>2839</v>
      </c>
      <c r="M280" s="26" t="s">
        <v>28</v>
      </c>
      <c r="N280" s="24" t="s">
        <v>340</v>
      </c>
      <c r="O280" s="24" t="s">
        <v>449</v>
      </c>
      <c r="P280" s="27"/>
      <c r="Q280" s="27"/>
      <c r="R280" s="31" t="s">
        <v>2840</v>
      </c>
      <c r="S280" s="33" t="s">
        <v>2841</v>
      </c>
      <c r="T280" s="29" t="s">
        <v>488</v>
      </c>
      <c r="U280" s="24"/>
    </row>
    <row r="281" hidden="1">
      <c r="A281" s="30">
        <v>5.060639129102E12</v>
      </c>
      <c r="B281" s="20" t="s">
        <v>2848</v>
      </c>
      <c r="C281" s="21">
        <v>0.066</v>
      </c>
      <c r="D281" s="21">
        <v>0.168</v>
      </c>
      <c r="E281" s="21">
        <v>0.066</v>
      </c>
      <c r="F281" s="22">
        <v>5.0</v>
      </c>
      <c r="G281" s="23"/>
      <c r="H281" s="24" t="s">
        <v>2836</v>
      </c>
      <c r="I281" s="21" t="s">
        <v>488</v>
      </c>
      <c r="J281" s="24" t="s">
        <v>2849</v>
      </c>
      <c r="K281" s="21" t="s">
        <v>2850</v>
      </c>
      <c r="L281" s="25" t="s">
        <v>2851</v>
      </c>
      <c r="M281" s="26" t="s">
        <v>28</v>
      </c>
      <c r="N281" s="24" t="s">
        <v>340</v>
      </c>
      <c r="O281" s="24" t="s">
        <v>449</v>
      </c>
      <c r="P281" s="27"/>
      <c r="Q281" s="27"/>
      <c r="R281" s="28" t="s">
        <v>2852</v>
      </c>
      <c r="S281" s="8" t="s">
        <v>2853</v>
      </c>
      <c r="T281" s="29" t="s">
        <v>488</v>
      </c>
      <c r="U281" s="24"/>
    </row>
    <row r="282" hidden="1">
      <c r="A282" s="30">
        <v>7.290000688084E12</v>
      </c>
      <c r="B282" s="20" t="s">
        <v>2657</v>
      </c>
      <c r="C282" s="21">
        <v>0.06</v>
      </c>
      <c r="D282" s="21">
        <v>0.23</v>
      </c>
      <c r="E282" s="21">
        <v>0.06</v>
      </c>
      <c r="F282" s="22">
        <v>5.0</v>
      </c>
      <c r="G282" s="23"/>
      <c r="H282" s="24" t="s">
        <v>2658</v>
      </c>
      <c r="I282" s="21" t="s">
        <v>2659</v>
      </c>
      <c r="J282" s="24" t="s">
        <v>2660</v>
      </c>
      <c r="K282" s="21" t="s">
        <v>2661</v>
      </c>
      <c r="L282" s="25" t="s">
        <v>2662</v>
      </c>
      <c r="M282" s="26" t="s">
        <v>37</v>
      </c>
      <c r="N282" s="24" t="s">
        <v>137</v>
      </c>
      <c r="O282" s="24" t="s">
        <v>2663</v>
      </c>
      <c r="P282" s="27"/>
      <c r="Q282" s="27"/>
      <c r="R282" s="31" t="s">
        <v>2664</v>
      </c>
      <c r="S282" s="8" t="s">
        <v>2665</v>
      </c>
      <c r="T282" s="29" t="e">
        <v>#N/A</v>
      </c>
      <c r="U282" s="24"/>
    </row>
    <row r="283" hidden="1">
      <c r="A283" s="30">
        <v>7.290000688114E12</v>
      </c>
      <c r="B283" s="20" t="s">
        <v>2666</v>
      </c>
      <c r="C283" s="21">
        <v>0.09</v>
      </c>
      <c r="D283" s="21">
        <v>0.34</v>
      </c>
      <c r="E283" s="21">
        <v>0.09</v>
      </c>
      <c r="F283" s="22">
        <v>3.0</v>
      </c>
      <c r="G283" s="23"/>
      <c r="H283" s="24" t="s">
        <v>2658</v>
      </c>
      <c r="I283" s="21" t="s">
        <v>2659</v>
      </c>
      <c r="J283" s="24" t="s">
        <v>2667</v>
      </c>
      <c r="K283" s="21" t="s">
        <v>2668</v>
      </c>
      <c r="L283" s="25" t="s">
        <v>2669</v>
      </c>
      <c r="M283" s="26" t="s">
        <v>37</v>
      </c>
      <c r="N283" s="24" t="s">
        <v>137</v>
      </c>
      <c r="O283" s="24" t="s">
        <v>138</v>
      </c>
      <c r="P283" s="27"/>
      <c r="Q283" s="27"/>
      <c r="R283" s="28" t="s">
        <v>2670</v>
      </c>
      <c r="S283" s="8" t="s">
        <v>2671</v>
      </c>
      <c r="T283" s="29" t="e">
        <v>#N/A</v>
      </c>
      <c r="U283" s="24"/>
    </row>
    <row r="284" hidden="1">
      <c r="A284" s="30">
        <v>7.290017888972E12</v>
      </c>
      <c r="B284" s="20" t="s">
        <v>2672</v>
      </c>
      <c r="C284" s="21">
        <v>0.087</v>
      </c>
      <c r="D284" s="21">
        <v>0.255</v>
      </c>
      <c r="E284" s="21">
        <v>0.087</v>
      </c>
      <c r="F284" s="22">
        <v>3.0</v>
      </c>
      <c r="G284" s="23"/>
      <c r="H284" s="24" t="s">
        <v>2658</v>
      </c>
      <c r="I284" s="21" t="s">
        <v>2659</v>
      </c>
      <c r="J284" s="24" t="s">
        <v>2673</v>
      </c>
      <c r="K284" s="21" t="s">
        <v>2674</v>
      </c>
      <c r="L284" s="25" t="s">
        <v>2675</v>
      </c>
      <c r="M284" s="26" t="s">
        <v>28</v>
      </c>
      <c r="N284" s="24" t="s">
        <v>137</v>
      </c>
      <c r="O284" s="24" t="s">
        <v>138</v>
      </c>
      <c r="P284" s="27"/>
      <c r="Q284" s="27"/>
      <c r="R284" s="28" t="s">
        <v>2676</v>
      </c>
      <c r="S284" s="8" t="s">
        <v>2677</v>
      </c>
      <c r="T284" s="29" t="s">
        <v>2678</v>
      </c>
      <c r="U284" s="24"/>
    </row>
    <row r="285" hidden="1">
      <c r="A285" s="30">
        <v>7.0970473562E10</v>
      </c>
      <c r="B285" s="20" t="s">
        <v>2690</v>
      </c>
      <c r="C285" s="21">
        <v>0.155</v>
      </c>
      <c r="D285" s="21">
        <v>0.085</v>
      </c>
      <c r="E285" s="21">
        <v>0.02</v>
      </c>
      <c r="F285" s="22">
        <v>15.0</v>
      </c>
      <c r="G285" s="23"/>
      <c r="H285" s="24" t="s">
        <v>2680</v>
      </c>
      <c r="I285" s="21" t="s">
        <v>2681</v>
      </c>
      <c r="J285" s="24" t="s">
        <v>2691</v>
      </c>
      <c r="K285" s="21" t="s">
        <v>2692</v>
      </c>
      <c r="L285" s="25" t="s">
        <v>2693</v>
      </c>
      <c r="M285" s="26" t="s">
        <v>28</v>
      </c>
      <c r="N285" s="24" t="s">
        <v>2685</v>
      </c>
      <c r="O285" s="24" t="s">
        <v>2686</v>
      </c>
      <c r="P285" s="27"/>
      <c r="Q285" s="27"/>
      <c r="R285" s="28" t="s">
        <v>2694</v>
      </c>
      <c r="S285" s="8" t="s">
        <v>2695</v>
      </c>
      <c r="T285" s="29" t="s">
        <v>2689</v>
      </c>
      <c r="U285" s="24"/>
    </row>
    <row r="286" hidden="1">
      <c r="A286" s="30">
        <v>7.0970471254E10</v>
      </c>
      <c r="B286" s="20" t="s">
        <v>2679</v>
      </c>
      <c r="C286" s="21">
        <v>0.155</v>
      </c>
      <c r="D286" s="21">
        <v>0.085</v>
      </c>
      <c r="E286" s="21">
        <v>0.02</v>
      </c>
      <c r="F286" s="22">
        <v>15.0</v>
      </c>
      <c r="G286" s="23"/>
      <c r="H286" s="24" t="s">
        <v>2680</v>
      </c>
      <c r="I286" s="21" t="s">
        <v>2681</v>
      </c>
      <c r="J286" s="24" t="s">
        <v>2682</v>
      </c>
      <c r="K286" s="21" t="s">
        <v>2683</v>
      </c>
      <c r="L286" s="25" t="s">
        <v>2684</v>
      </c>
      <c r="M286" s="26" t="s">
        <v>28</v>
      </c>
      <c r="N286" s="24" t="s">
        <v>2685</v>
      </c>
      <c r="O286" s="24" t="s">
        <v>2686</v>
      </c>
      <c r="P286" s="27"/>
      <c r="Q286" s="27"/>
      <c r="R286" s="28" t="s">
        <v>2687</v>
      </c>
      <c r="S286" s="8" t="s">
        <v>2688</v>
      </c>
      <c r="T286" s="29" t="s">
        <v>2689</v>
      </c>
      <c r="U286" s="24"/>
    </row>
    <row r="287" hidden="1">
      <c r="A287" s="30">
        <v>7.622201809188E12</v>
      </c>
      <c r="B287" s="20" t="s">
        <v>2696</v>
      </c>
      <c r="C287" s="21">
        <v>0.26</v>
      </c>
      <c r="D287" s="21">
        <v>0.09</v>
      </c>
      <c r="E287" s="21">
        <v>0.06</v>
      </c>
      <c r="F287" s="22">
        <v>5.0</v>
      </c>
      <c r="G287" s="23"/>
      <c r="H287" s="24" t="s">
        <v>2697</v>
      </c>
      <c r="I287" s="21" t="s">
        <v>2698</v>
      </c>
      <c r="J287" s="24" t="s">
        <v>2699</v>
      </c>
      <c r="K287" s="21" t="s">
        <v>2700</v>
      </c>
      <c r="L287" s="25" t="s">
        <v>2701</v>
      </c>
      <c r="M287" s="26" t="s">
        <v>28</v>
      </c>
      <c r="N287" s="24" t="s">
        <v>2364</v>
      </c>
      <c r="O287" s="24" t="s">
        <v>2365</v>
      </c>
      <c r="P287" s="27"/>
      <c r="Q287" s="27"/>
      <c r="R287" s="28" t="s">
        <v>2702</v>
      </c>
      <c r="S287" s="8" t="s">
        <v>2703</v>
      </c>
      <c r="T287" s="29" t="s">
        <v>2698</v>
      </c>
      <c r="U287" s="24"/>
    </row>
    <row r="288" hidden="1">
      <c r="A288" s="30">
        <v>7.622201137052E12</v>
      </c>
      <c r="B288" s="20" t="s">
        <v>2716</v>
      </c>
      <c r="C288" s="21">
        <v>0.14</v>
      </c>
      <c r="D288" s="21">
        <v>0.17</v>
      </c>
      <c r="E288" s="21">
        <v>0.035</v>
      </c>
      <c r="F288" s="22">
        <v>9.0</v>
      </c>
      <c r="G288" s="23"/>
      <c r="H288" s="24" t="s">
        <v>2697</v>
      </c>
      <c r="I288" s="21" t="s">
        <v>2698</v>
      </c>
      <c r="J288" s="24" t="s">
        <v>2717</v>
      </c>
      <c r="K288" s="21" t="s">
        <v>2718</v>
      </c>
      <c r="L288" s="25" t="s">
        <v>2719</v>
      </c>
      <c r="M288" s="26" t="s">
        <v>37</v>
      </c>
      <c r="N288" s="24" t="s">
        <v>2364</v>
      </c>
      <c r="O288" s="24" t="s">
        <v>2647</v>
      </c>
      <c r="P288" s="27"/>
      <c r="Q288" s="27"/>
      <c r="R288" s="28" t="s">
        <v>2720</v>
      </c>
      <c r="S288" s="8" t="s">
        <v>2721</v>
      </c>
      <c r="T288" s="29" t="e">
        <v>#N/A</v>
      </c>
      <c r="U288" s="24"/>
    </row>
    <row r="289" hidden="1">
      <c r="A289" s="30">
        <v>7.622300356767E12</v>
      </c>
      <c r="B289" s="20" t="s">
        <v>2704</v>
      </c>
      <c r="C289" s="21">
        <v>0.26</v>
      </c>
      <c r="D289" s="21">
        <v>0.09</v>
      </c>
      <c r="E289" s="21">
        <v>0.06</v>
      </c>
      <c r="F289" s="22">
        <v>5.0</v>
      </c>
      <c r="G289" s="23"/>
      <c r="H289" s="24" t="s">
        <v>2697</v>
      </c>
      <c r="I289" s="21" t="s">
        <v>2698</v>
      </c>
      <c r="J289" s="24" t="s">
        <v>2705</v>
      </c>
      <c r="K289" s="21" t="s">
        <v>2706</v>
      </c>
      <c r="L289" s="25" t="s">
        <v>2707</v>
      </c>
      <c r="M289" s="26" t="s">
        <v>28</v>
      </c>
      <c r="N289" s="24" t="s">
        <v>2364</v>
      </c>
      <c r="O289" s="24" t="s">
        <v>2647</v>
      </c>
      <c r="P289" s="27"/>
      <c r="Q289" s="27"/>
      <c r="R289" s="28" t="s">
        <v>2708</v>
      </c>
      <c r="S289" s="8" t="s">
        <v>2709</v>
      </c>
      <c r="T289" s="29" t="s">
        <v>2698</v>
      </c>
      <c r="U289" s="24"/>
    </row>
    <row r="290" hidden="1">
      <c r="A290" s="30">
        <v>4.025700001023E12</v>
      </c>
      <c r="B290" s="20" t="s">
        <v>2710</v>
      </c>
      <c r="C290" s="21">
        <v>0.15</v>
      </c>
      <c r="D290" s="21">
        <v>0.079</v>
      </c>
      <c r="E290" s="21">
        <v>0.02</v>
      </c>
      <c r="F290" s="22">
        <v>15.0</v>
      </c>
      <c r="G290" s="23"/>
      <c r="H290" s="24" t="s">
        <v>2697</v>
      </c>
      <c r="I290" s="21" t="s">
        <v>2698</v>
      </c>
      <c r="J290" s="24" t="s">
        <v>2711</v>
      </c>
      <c r="K290" s="21" t="s">
        <v>2712</v>
      </c>
      <c r="L290" s="25" t="s">
        <v>2713</v>
      </c>
      <c r="M290" s="26" t="s">
        <v>28</v>
      </c>
      <c r="N290" s="24" t="s">
        <v>626</v>
      </c>
      <c r="O290" s="24" t="s">
        <v>649</v>
      </c>
      <c r="P290" s="27"/>
      <c r="Q290" s="27"/>
      <c r="R290" s="28" t="s">
        <v>2714</v>
      </c>
      <c r="S290" s="8" t="s">
        <v>2715</v>
      </c>
      <c r="T290" s="29" t="s">
        <v>2698</v>
      </c>
      <c r="U290" s="24"/>
    </row>
    <row r="291" hidden="1">
      <c r="A291" s="30">
        <v>7.290106663121E12</v>
      </c>
      <c r="B291" s="20" t="s">
        <v>2752</v>
      </c>
      <c r="C291" s="21">
        <v>0.06</v>
      </c>
      <c r="D291" s="21">
        <v>0.09999999</v>
      </c>
      <c r="E291" s="21">
        <v>0.02</v>
      </c>
      <c r="F291" s="22">
        <v>15.0</v>
      </c>
      <c r="G291" s="23"/>
      <c r="H291" s="24" t="s">
        <v>2743</v>
      </c>
      <c r="I291" s="21" t="s">
        <v>2744</v>
      </c>
      <c r="J291" s="24" t="s">
        <v>2753</v>
      </c>
      <c r="K291" s="21" t="s">
        <v>2754</v>
      </c>
      <c r="L291" s="25" t="s">
        <v>2755</v>
      </c>
      <c r="M291" s="26" t="s">
        <v>28</v>
      </c>
      <c r="N291" s="24" t="s">
        <v>2756</v>
      </c>
      <c r="O291" s="24" t="s">
        <v>2757</v>
      </c>
      <c r="P291" s="27"/>
      <c r="Q291" s="27"/>
      <c r="R291" s="28" t="s">
        <v>2758</v>
      </c>
      <c r="S291" s="8" t="s">
        <v>2759</v>
      </c>
      <c r="T291" s="29" t="s">
        <v>2760</v>
      </c>
      <c r="U291" s="24"/>
    </row>
    <row r="292" hidden="1">
      <c r="A292" s="30">
        <v>5839313.0</v>
      </c>
      <c r="B292" s="20" t="s">
        <v>2761</v>
      </c>
      <c r="C292" s="21">
        <v>0.07</v>
      </c>
      <c r="D292" s="21">
        <v>0.09</v>
      </c>
      <c r="E292" s="21">
        <v>0.07</v>
      </c>
      <c r="F292" s="22">
        <v>4.0</v>
      </c>
      <c r="G292" s="23"/>
      <c r="H292" s="24" t="s">
        <v>2743</v>
      </c>
      <c r="I292" s="21" t="s">
        <v>2744</v>
      </c>
      <c r="J292" s="24" t="s">
        <v>2762</v>
      </c>
      <c r="K292" s="21" t="s">
        <v>2763</v>
      </c>
      <c r="L292" s="25" t="s">
        <v>2764</v>
      </c>
      <c r="M292" s="26" t="s">
        <v>28</v>
      </c>
      <c r="N292" s="24" t="s">
        <v>1011</v>
      </c>
      <c r="O292" s="24" t="s">
        <v>2748</v>
      </c>
      <c r="P292" s="27"/>
      <c r="Q292" s="27"/>
      <c r="R292" s="31" t="s">
        <v>2765</v>
      </c>
      <c r="S292" s="8" t="s">
        <v>2766</v>
      </c>
      <c r="T292" s="29" t="s">
        <v>2751</v>
      </c>
      <c r="U292" s="24"/>
    </row>
    <row r="293" hidden="1">
      <c r="A293" s="30">
        <v>7.2940761E7</v>
      </c>
      <c r="B293" s="20" t="s">
        <v>2742</v>
      </c>
      <c r="C293" s="21">
        <v>0.07</v>
      </c>
      <c r="D293" s="21">
        <v>0.08</v>
      </c>
      <c r="E293" s="21">
        <v>0.07</v>
      </c>
      <c r="F293" s="22">
        <v>4.0</v>
      </c>
      <c r="G293" s="23"/>
      <c r="H293" s="24" t="s">
        <v>2743</v>
      </c>
      <c r="I293" s="21" t="s">
        <v>2744</v>
      </c>
      <c r="J293" s="24" t="s">
        <v>2745</v>
      </c>
      <c r="K293" s="21" t="s">
        <v>2746</v>
      </c>
      <c r="L293" s="25" t="s">
        <v>2747</v>
      </c>
      <c r="M293" s="26" t="s">
        <v>28</v>
      </c>
      <c r="N293" s="24" t="s">
        <v>1011</v>
      </c>
      <c r="O293" s="24" t="s">
        <v>2748</v>
      </c>
      <c r="P293" s="27"/>
      <c r="Q293" s="27"/>
      <c r="R293" s="31" t="s">
        <v>2749</v>
      </c>
      <c r="S293" s="33" t="s">
        <v>2750</v>
      </c>
      <c r="T293" s="29" t="s">
        <v>2751</v>
      </c>
      <c r="U293" s="24"/>
    </row>
    <row r="294" hidden="1">
      <c r="A294" s="30">
        <v>7.290104066016E12</v>
      </c>
      <c r="B294" s="20" t="s">
        <v>2767</v>
      </c>
      <c r="C294" s="21">
        <v>0.065</v>
      </c>
      <c r="D294" s="21">
        <v>0.09</v>
      </c>
      <c r="E294" s="21">
        <v>0.065</v>
      </c>
      <c r="F294" s="22">
        <v>5.0</v>
      </c>
      <c r="G294" s="23"/>
      <c r="H294" s="24" t="s">
        <v>2743</v>
      </c>
      <c r="I294" s="21" t="s">
        <v>2744</v>
      </c>
      <c r="J294" s="24" t="s">
        <v>2768</v>
      </c>
      <c r="K294" s="21" t="s">
        <v>2769</v>
      </c>
      <c r="L294" s="25" t="s">
        <v>2770</v>
      </c>
      <c r="M294" s="26" t="s">
        <v>28</v>
      </c>
      <c r="N294" s="24" t="s">
        <v>1011</v>
      </c>
      <c r="O294" s="24" t="s">
        <v>2748</v>
      </c>
      <c r="P294" s="27"/>
      <c r="Q294" s="27"/>
      <c r="R294" s="31" t="s">
        <v>2771</v>
      </c>
      <c r="S294" s="33" t="s">
        <v>2772</v>
      </c>
      <c r="T294" s="29" t="s">
        <v>2751</v>
      </c>
      <c r="U294" s="24"/>
    </row>
    <row r="295" hidden="1">
      <c r="A295" s="30">
        <v>7.290006764782E12</v>
      </c>
      <c r="B295" s="20" t="s">
        <v>2823</v>
      </c>
      <c r="C295" s="21">
        <v>0.065</v>
      </c>
      <c r="D295" s="21">
        <v>0.24</v>
      </c>
      <c r="E295" s="21">
        <v>0.065</v>
      </c>
      <c r="F295" s="22">
        <v>5.0</v>
      </c>
      <c r="G295" s="23"/>
      <c r="H295" s="24" t="s">
        <v>2810</v>
      </c>
      <c r="I295" s="21" t="s">
        <v>2811</v>
      </c>
      <c r="J295" s="24" t="s">
        <v>2824</v>
      </c>
      <c r="K295" s="21" t="s">
        <v>2825</v>
      </c>
      <c r="L295" s="25" t="s">
        <v>2826</v>
      </c>
      <c r="M295" s="26" t="s">
        <v>37</v>
      </c>
      <c r="N295" s="24" t="s">
        <v>718</v>
      </c>
      <c r="O295" s="24" t="s">
        <v>719</v>
      </c>
      <c r="P295" s="27"/>
      <c r="Q295" s="27"/>
      <c r="R295" s="28" t="s">
        <v>2827</v>
      </c>
      <c r="S295" s="8" t="s">
        <v>2828</v>
      </c>
      <c r="T295" s="29" t="e">
        <v>#N/A</v>
      </c>
      <c r="U295" s="24"/>
    </row>
    <row r="296" hidden="1">
      <c r="A296" s="30">
        <v>7.290006764768E12</v>
      </c>
      <c r="B296" s="20" t="s">
        <v>2809</v>
      </c>
      <c r="C296" s="21">
        <v>0.065</v>
      </c>
      <c r="D296" s="21">
        <v>0.24</v>
      </c>
      <c r="E296" s="21">
        <v>0.065</v>
      </c>
      <c r="F296" s="22">
        <v>5.0</v>
      </c>
      <c r="G296" s="23"/>
      <c r="H296" s="24" t="s">
        <v>2810</v>
      </c>
      <c r="I296" s="21" t="s">
        <v>2811</v>
      </c>
      <c r="J296" s="24" t="s">
        <v>2812</v>
      </c>
      <c r="K296" s="21" t="s">
        <v>2813</v>
      </c>
      <c r="L296" s="25" t="s">
        <v>2814</v>
      </c>
      <c r="M296" s="26" t="s">
        <v>37</v>
      </c>
      <c r="N296" s="24" t="s">
        <v>718</v>
      </c>
      <c r="O296" s="24" t="s">
        <v>719</v>
      </c>
      <c r="P296" s="27"/>
      <c r="Q296" s="27"/>
      <c r="R296" s="28" t="s">
        <v>2815</v>
      </c>
      <c r="S296" s="8" t="s">
        <v>2816</v>
      </c>
      <c r="T296" s="29" t="e">
        <v>#N/A</v>
      </c>
      <c r="U296" s="24"/>
    </row>
    <row r="297" hidden="1">
      <c r="A297" s="30">
        <v>7.290010237562E12</v>
      </c>
      <c r="B297" s="20" t="s">
        <v>2817</v>
      </c>
      <c r="C297" s="21">
        <v>0.065</v>
      </c>
      <c r="D297" s="21">
        <v>0.24</v>
      </c>
      <c r="E297" s="21">
        <v>0.065</v>
      </c>
      <c r="F297" s="22">
        <v>5.0</v>
      </c>
      <c r="G297" s="23"/>
      <c r="H297" s="24" t="s">
        <v>2810</v>
      </c>
      <c r="I297" s="21" t="s">
        <v>2811</v>
      </c>
      <c r="J297" s="24" t="s">
        <v>2818</v>
      </c>
      <c r="K297" s="21" t="s">
        <v>2819</v>
      </c>
      <c r="L297" s="25" t="s">
        <v>2820</v>
      </c>
      <c r="M297" s="26" t="s">
        <v>28</v>
      </c>
      <c r="N297" s="24" t="s">
        <v>1351</v>
      </c>
      <c r="O297" s="24" t="s">
        <v>1359</v>
      </c>
      <c r="P297" s="27"/>
      <c r="Q297" s="27"/>
      <c r="R297" s="28" t="s">
        <v>2821</v>
      </c>
      <c r="S297" s="8" t="s">
        <v>2822</v>
      </c>
      <c r="T297" s="29" t="s">
        <v>2811</v>
      </c>
      <c r="U297" s="24"/>
    </row>
    <row r="298" hidden="1">
      <c r="A298" s="30">
        <v>433745.0</v>
      </c>
      <c r="B298" s="20" t="s">
        <v>2829</v>
      </c>
      <c r="C298" s="21">
        <v>0.08</v>
      </c>
      <c r="D298" s="21">
        <v>0.33</v>
      </c>
      <c r="E298" s="21">
        <v>0.08</v>
      </c>
      <c r="F298" s="22">
        <v>4.0</v>
      </c>
      <c r="G298" s="23"/>
      <c r="H298" s="24" t="s">
        <v>2810</v>
      </c>
      <c r="I298" s="21" t="s">
        <v>2811</v>
      </c>
      <c r="J298" s="24" t="s">
        <v>2830</v>
      </c>
      <c r="K298" s="21" t="s">
        <v>2831</v>
      </c>
      <c r="L298" s="25" t="s">
        <v>2832</v>
      </c>
      <c r="M298" s="26" t="s">
        <v>28</v>
      </c>
      <c r="N298" s="24" t="s">
        <v>1351</v>
      </c>
      <c r="O298" s="24" t="s">
        <v>1352</v>
      </c>
      <c r="P298" s="27"/>
      <c r="Q298" s="27"/>
      <c r="R298" s="28" t="s">
        <v>2833</v>
      </c>
      <c r="S298" s="8" t="s">
        <v>2834</v>
      </c>
      <c r="T298" s="29" t="s">
        <v>2811</v>
      </c>
      <c r="U298" s="24"/>
    </row>
    <row r="299" hidden="1">
      <c r="A299" s="30">
        <v>7.290008464208E12</v>
      </c>
      <c r="B299" s="20" t="s">
        <v>2471</v>
      </c>
      <c r="C299" s="21">
        <v>0.055</v>
      </c>
      <c r="D299" s="21">
        <v>0.239</v>
      </c>
      <c r="E299" s="21">
        <v>0.055</v>
      </c>
      <c r="F299" s="22">
        <v>5.0</v>
      </c>
      <c r="G299" s="23"/>
      <c r="H299" s="24" t="s">
        <v>2472</v>
      </c>
      <c r="I299" s="21" t="s">
        <v>2473</v>
      </c>
      <c r="J299" s="24" t="s">
        <v>2474</v>
      </c>
      <c r="K299" s="21" t="s">
        <v>5197</v>
      </c>
      <c r="L299" s="25" t="s">
        <v>5198</v>
      </c>
      <c r="M299" s="26" t="s">
        <v>37</v>
      </c>
      <c r="N299" s="24" t="s">
        <v>365</v>
      </c>
      <c r="O299" s="24" t="s">
        <v>536</v>
      </c>
      <c r="P299" s="27"/>
      <c r="Q299" s="27"/>
      <c r="R299" s="28" t="s">
        <v>2477</v>
      </c>
      <c r="S299" s="8" t="s">
        <v>2478</v>
      </c>
      <c r="T299" s="29" t="e">
        <v>#N/A</v>
      </c>
      <c r="U299" s="24"/>
    </row>
    <row r="300" hidden="1">
      <c r="A300" s="30">
        <v>7.290008464338E12</v>
      </c>
      <c r="B300" s="20" t="s">
        <v>2485</v>
      </c>
      <c r="C300" s="21">
        <v>0.058</v>
      </c>
      <c r="D300" s="21">
        <v>0.222</v>
      </c>
      <c r="E300" s="21">
        <v>0.058</v>
      </c>
      <c r="F300" s="22">
        <v>5.0</v>
      </c>
      <c r="G300" s="23"/>
      <c r="H300" s="24" t="s">
        <v>2472</v>
      </c>
      <c r="I300" s="21" t="s">
        <v>2473</v>
      </c>
      <c r="J300" s="24" t="s">
        <v>2486</v>
      </c>
      <c r="K300" s="21" t="s">
        <v>5199</v>
      </c>
      <c r="L300" s="25" t="s">
        <v>5200</v>
      </c>
      <c r="M300" s="26" t="s">
        <v>37</v>
      </c>
      <c r="N300" s="24" t="s">
        <v>365</v>
      </c>
      <c r="O300" s="24" t="s">
        <v>536</v>
      </c>
      <c r="P300" s="27"/>
      <c r="Q300" s="27"/>
      <c r="R300" s="28" t="s">
        <v>2489</v>
      </c>
      <c r="S300" s="8" t="s">
        <v>2490</v>
      </c>
      <c r="T300" s="29" t="e">
        <v>#N/A</v>
      </c>
      <c r="U300" s="24"/>
    </row>
    <row r="301" hidden="1">
      <c r="A301" s="30">
        <v>7.290008464222E12</v>
      </c>
      <c r="B301" s="20" t="s">
        <v>2479</v>
      </c>
      <c r="C301" s="21">
        <v>0.065</v>
      </c>
      <c r="D301" s="21">
        <v>0.17</v>
      </c>
      <c r="E301" s="21">
        <v>0.065</v>
      </c>
      <c r="F301" s="22">
        <v>5.0</v>
      </c>
      <c r="G301" s="23"/>
      <c r="H301" s="24" t="s">
        <v>2472</v>
      </c>
      <c r="I301" s="21" t="s">
        <v>2473</v>
      </c>
      <c r="J301" s="24" t="s">
        <v>2480</v>
      </c>
      <c r="K301" s="21" t="s">
        <v>5201</v>
      </c>
      <c r="L301" s="25" t="s">
        <v>5202</v>
      </c>
      <c r="M301" s="26" t="s">
        <v>37</v>
      </c>
      <c r="N301" s="24" t="s">
        <v>365</v>
      </c>
      <c r="O301" s="24" t="s">
        <v>543</v>
      </c>
      <c r="P301" s="27"/>
      <c r="Q301" s="27"/>
      <c r="R301" s="28" t="s">
        <v>2483</v>
      </c>
      <c r="S301" s="8" t="s">
        <v>2484</v>
      </c>
      <c r="T301" s="29" t="e">
        <v>#N/A</v>
      </c>
      <c r="U301" s="24"/>
    </row>
    <row r="302" hidden="1">
      <c r="A302" s="30">
        <v>7.290008464475E12</v>
      </c>
      <c r="B302" s="20" t="s">
        <v>2491</v>
      </c>
      <c r="C302" s="21">
        <v>0.065</v>
      </c>
      <c r="D302" s="21">
        <v>0.17</v>
      </c>
      <c r="E302" s="21">
        <v>0.065</v>
      </c>
      <c r="F302" s="22">
        <v>5.0</v>
      </c>
      <c r="G302" s="23"/>
      <c r="H302" s="24" t="s">
        <v>2472</v>
      </c>
      <c r="I302" s="21" t="s">
        <v>2473</v>
      </c>
      <c r="J302" s="24" t="s">
        <v>2492</v>
      </c>
      <c r="K302" s="21" t="s">
        <v>5203</v>
      </c>
      <c r="L302" s="25" t="s">
        <v>5204</v>
      </c>
      <c r="M302" s="26" t="s">
        <v>37</v>
      </c>
      <c r="N302" s="24" t="s">
        <v>365</v>
      </c>
      <c r="O302" s="24" t="s">
        <v>543</v>
      </c>
      <c r="P302" s="27"/>
      <c r="Q302" s="27"/>
      <c r="R302" s="28" t="s">
        <v>2495</v>
      </c>
      <c r="S302" s="8" t="s">
        <v>2496</v>
      </c>
      <c r="T302" s="29" t="e">
        <v>#N/A</v>
      </c>
      <c r="U302" s="24"/>
    </row>
    <row r="303" hidden="1">
      <c r="A303" s="30">
        <v>7.290012921032E12</v>
      </c>
      <c r="B303" s="20" t="s">
        <v>2505</v>
      </c>
      <c r="C303" s="21">
        <v>0.06</v>
      </c>
      <c r="D303" s="21">
        <v>0.228</v>
      </c>
      <c r="E303" s="21">
        <v>0.06</v>
      </c>
      <c r="F303" s="22">
        <v>5.0</v>
      </c>
      <c r="G303" s="23"/>
      <c r="H303" s="24" t="s">
        <v>2498</v>
      </c>
      <c r="I303" s="21" t="s">
        <v>2499</v>
      </c>
      <c r="J303" s="24" t="s">
        <v>2506</v>
      </c>
      <c r="K303" s="21" t="s">
        <v>2507</v>
      </c>
      <c r="L303" s="25" t="s">
        <v>2508</v>
      </c>
      <c r="M303" s="26" t="s">
        <v>28</v>
      </c>
      <c r="N303" s="24" t="s">
        <v>365</v>
      </c>
      <c r="O303" s="24" t="s">
        <v>536</v>
      </c>
      <c r="P303" s="27"/>
      <c r="Q303" s="27"/>
      <c r="R303" s="28" t="s">
        <v>2509</v>
      </c>
      <c r="S303" s="8" t="s">
        <v>2510</v>
      </c>
      <c r="T303" s="29" t="s">
        <v>2499</v>
      </c>
      <c r="U303" s="24"/>
    </row>
    <row r="304" hidden="1">
      <c r="A304" s="30">
        <v>7.290012921025E12</v>
      </c>
      <c r="B304" s="20" t="s">
        <v>2497</v>
      </c>
      <c r="C304" s="21">
        <v>0.06</v>
      </c>
      <c r="D304" s="21">
        <v>0.228</v>
      </c>
      <c r="E304" s="21">
        <v>0.06</v>
      </c>
      <c r="F304" s="22">
        <v>5.0</v>
      </c>
      <c r="G304" s="23"/>
      <c r="H304" s="24" t="s">
        <v>2498</v>
      </c>
      <c r="I304" s="21" t="s">
        <v>2499</v>
      </c>
      <c r="J304" s="24" t="s">
        <v>2500</v>
      </c>
      <c r="K304" s="21" t="s">
        <v>2501</v>
      </c>
      <c r="L304" s="25" t="s">
        <v>2502</v>
      </c>
      <c r="M304" s="26" t="s">
        <v>28</v>
      </c>
      <c r="N304" s="24" t="s">
        <v>365</v>
      </c>
      <c r="O304" s="24" t="s">
        <v>536</v>
      </c>
      <c r="P304" s="27"/>
      <c r="Q304" s="27"/>
      <c r="R304" s="28" t="s">
        <v>2503</v>
      </c>
      <c r="S304" s="8" t="s">
        <v>2504</v>
      </c>
      <c r="T304" s="29" t="s">
        <v>2499</v>
      </c>
      <c r="U304" s="24"/>
    </row>
    <row r="305" hidden="1">
      <c r="A305" s="30">
        <v>7.29010068065E12</v>
      </c>
      <c r="B305" s="20" t="s">
        <v>2541</v>
      </c>
      <c r="C305" s="21">
        <v>0.08</v>
      </c>
      <c r="D305" s="21">
        <v>0.09999999</v>
      </c>
      <c r="E305" s="21">
        <v>0.02</v>
      </c>
      <c r="F305" s="22">
        <v>15.0</v>
      </c>
      <c r="G305" s="23"/>
      <c r="H305" s="24" t="s">
        <v>2512</v>
      </c>
      <c r="I305" s="21" t="s">
        <v>2513</v>
      </c>
      <c r="J305" s="24" t="s">
        <v>2542</v>
      </c>
      <c r="K305" s="21" t="s">
        <v>2543</v>
      </c>
      <c r="L305" s="25" t="s">
        <v>2544</v>
      </c>
      <c r="M305" s="26" t="s">
        <v>28</v>
      </c>
      <c r="N305" s="24" t="s">
        <v>2518</v>
      </c>
      <c r="O305" s="24" t="s">
        <v>2519</v>
      </c>
      <c r="P305" s="27"/>
      <c r="Q305" s="27"/>
      <c r="R305" s="28" t="s">
        <v>2545</v>
      </c>
      <c r="S305" s="8" t="s">
        <v>2546</v>
      </c>
      <c r="T305" s="29" t="s">
        <v>2522</v>
      </c>
      <c r="U305" s="24"/>
    </row>
    <row r="306" hidden="1">
      <c r="A306" s="30">
        <v>73750.0</v>
      </c>
      <c r="B306" s="20" t="s">
        <v>2511</v>
      </c>
      <c r="C306" s="21">
        <v>0.08</v>
      </c>
      <c r="D306" s="21">
        <v>0.09999999</v>
      </c>
      <c r="E306" s="21">
        <v>0.02</v>
      </c>
      <c r="F306" s="22">
        <v>15.0</v>
      </c>
      <c r="G306" s="23"/>
      <c r="H306" s="24" t="s">
        <v>2512</v>
      </c>
      <c r="I306" s="21" t="s">
        <v>2513</v>
      </c>
      <c r="J306" s="24" t="s">
        <v>2515</v>
      </c>
      <c r="K306" s="21" t="s">
        <v>2516</v>
      </c>
      <c r="L306" s="25" t="s">
        <v>2517</v>
      </c>
      <c r="M306" s="26" t="s">
        <v>28</v>
      </c>
      <c r="N306" s="24" t="s">
        <v>2518</v>
      </c>
      <c r="O306" s="24" t="s">
        <v>2519</v>
      </c>
      <c r="P306" s="27"/>
      <c r="Q306" s="27"/>
      <c r="R306" s="28" t="s">
        <v>2520</v>
      </c>
      <c r="S306" s="8" t="s">
        <v>2521</v>
      </c>
      <c r="T306" s="29" t="s">
        <v>2522</v>
      </c>
      <c r="U306" s="24"/>
    </row>
    <row r="307" hidden="1">
      <c r="A307" s="30">
        <v>7.290112969538E12</v>
      </c>
      <c r="B307" s="20" t="s">
        <v>2535</v>
      </c>
      <c r="C307" s="21">
        <v>0.08</v>
      </c>
      <c r="D307" s="21">
        <v>0.09999999</v>
      </c>
      <c r="E307" s="21">
        <v>0.07</v>
      </c>
      <c r="F307" s="22">
        <v>4.0</v>
      </c>
      <c r="G307" s="23"/>
      <c r="H307" s="24" t="s">
        <v>2512</v>
      </c>
      <c r="I307" s="21" t="s">
        <v>2513</v>
      </c>
      <c r="J307" s="24" t="s">
        <v>2536</v>
      </c>
      <c r="K307" s="21" t="s">
        <v>2537</v>
      </c>
      <c r="L307" s="25" t="s">
        <v>2538</v>
      </c>
      <c r="M307" s="26" t="s">
        <v>28</v>
      </c>
      <c r="N307" s="24" t="s">
        <v>2518</v>
      </c>
      <c r="O307" s="24" t="s">
        <v>2519</v>
      </c>
      <c r="P307" s="27"/>
      <c r="Q307" s="27"/>
      <c r="R307" s="28" t="s">
        <v>2539</v>
      </c>
      <c r="S307" s="8" t="s">
        <v>2540</v>
      </c>
      <c r="T307" s="29" t="s">
        <v>2522</v>
      </c>
      <c r="U307" s="24"/>
    </row>
    <row r="308" hidden="1">
      <c r="A308" s="30">
        <v>7.290112969965E12</v>
      </c>
      <c r="B308" s="20" t="s">
        <v>2547</v>
      </c>
      <c r="C308" s="21">
        <v>0.08</v>
      </c>
      <c r="D308" s="21">
        <v>0.09999999</v>
      </c>
      <c r="E308" s="21">
        <v>0.07</v>
      </c>
      <c r="F308" s="22">
        <v>4.0</v>
      </c>
      <c r="G308" s="23"/>
      <c r="H308" s="24" t="s">
        <v>2512</v>
      </c>
      <c r="I308" s="21" t="s">
        <v>2513</v>
      </c>
      <c r="J308" s="24" t="s">
        <v>2548</v>
      </c>
      <c r="K308" s="21" t="s">
        <v>2549</v>
      </c>
      <c r="L308" s="25" t="s">
        <v>2550</v>
      </c>
      <c r="M308" s="26" t="s">
        <v>28</v>
      </c>
      <c r="N308" s="24" t="s">
        <v>2518</v>
      </c>
      <c r="O308" s="24" t="s">
        <v>2519</v>
      </c>
      <c r="P308" s="27"/>
      <c r="Q308" s="27"/>
      <c r="R308" s="28" t="s">
        <v>2551</v>
      </c>
      <c r="S308" s="8" t="s">
        <v>2552</v>
      </c>
      <c r="T308" s="29" t="s">
        <v>2522</v>
      </c>
      <c r="U308" s="24"/>
    </row>
    <row r="309" hidden="1">
      <c r="A309" s="30">
        <v>67599.0</v>
      </c>
      <c r="B309" s="20" t="s">
        <v>2529</v>
      </c>
      <c r="C309" s="21">
        <v>0.08</v>
      </c>
      <c r="D309" s="21">
        <v>0.09999999</v>
      </c>
      <c r="E309" s="21">
        <v>0.02</v>
      </c>
      <c r="F309" s="22">
        <v>15.0</v>
      </c>
      <c r="G309" s="23"/>
      <c r="H309" s="24" t="s">
        <v>2512</v>
      </c>
      <c r="I309" s="21" t="s">
        <v>2513</v>
      </c>
      <c r="J309" s="24" t="s">
        <v>2530</v>
      </c>
      <c r="K309" s="21" t="s">
        <v>2531</v>
      </c>
      <c r="L309" s="25" t="s">
        <v>2532</v>
      </c>
      <c r="M309" s="26" t="s">
        <v>28</v>
      </c>
      <c r="N309" s="24" t="s">
        <v>2518</v>
      </c>
      <c r="O309" s="24" t="s">
        <v>2519</v>
      </c>
      <c r="P309" s="27"/>
      <c r="Q309" s="27"/>
      <c r="R309" s="28" t="s">
        <v>2533</v>
      </c>
      <c r="S309" s="8" t="s">
        <v>2534</v>
      </c>
      <c r="T309" s="29" t="s">
        <v>2522</v>
      </c>
      <c r="U309" s="24"/>
    </row>
    <row r="310" hidden="1">
      <c r="A310" s="30">
        <v>65557.0</v>
      </c>
      <c r="B310" s="20" t="s">
        <v>2523</v>
      </c>
      <c r="C310" s="21">
        <v>0.08</v>
      </c>
      <c r="D310" s="21">
        <v>0.09999999</v>
      </c>
      <c r="E310" s="21">
        <v>0.02</v>
      </c>
      <c r="F310" s="22">
        <v>15.0</v>
      </c>
      <c r="G310" s="23"/>
      <c r="H310" s="24" t="s">
        <v>2512</v>
      </c>
      <c r="I310" s="21" t="s">
        <v>2513</v>
      </c>
      <c r="J310" s="24" t="s">
        <v>2524</v>
      </c>
      <c r="K310" s="21" t="s">
        <v>2525</v>
      </c>
      <c r="L310" s="25" t="s">
        <v>2526</v>
      </c>
      <c r="M310" s="26" t="s">
        <v>28</v>
      </c>
      <c r="N310" s="24" t="s">
        <v>2518</v>
      </c>
      <c r="O310" s="24" t="s">
        <v>2519</v>
      </c>
      <c r="P310" s="27"/>
      <c r="Q310" s="27"/>
      <c r="R310" s="28" t="s">
        <v>2527</v>
      </c>
      <c r="S310" s="8" t="s">
        <v>2528</v>
      </c>
      <c r="T310" s="29" t="s">
        <v>2522</v>
      </c>
      <c r="U310" s="24"/>
    </row>
    <row r="311" hidden="1">
      <c r="A311" s="30">
        <v>8.7311396E7</v>
      </c>
      <c r="B311" s="20" t="s">
        <v>2621</v>
      </c>
      <c r="C311" s="21">
        <v>0.138</v>
      </c>
      <c r="D311" s="21">
        <v>0.022</v>
      </c>
      <c r="E311" s="21">
        <v>0.02</v>
      </c>
      <c r="F311" s="22">
        <v>15.0</v>
      </c>
      <c r="G311" s="23"/>
      <c r="H311" s="24" t="s">
        <v>2606</v>
      </c>
      <c r="I311" s="21" t="s">
        <v>2607</v>
      </c>
      <c r="J311" s="24" t="s">
        <v>2622</v>
      </c>
      <c r="K311" s="21" t="s">
        <v>2623</v>
      </c>
      <c r="L311" s="25" t="s">
        <v>2624</v>
      </c>
      <c r="M311" s="26" t="s">
        <v>28</v>
      </c>
      <c r="N311" s="24" t="s">
        <v>2625</v>
      </c>
      <c r="O311" s="24" t="s">
        <v>2626</v>
      </c>
      <c r="P311" s="27"/>
      <c r="Q311" s="27"/>
      <c r="R311" s="28" t="s">
        <v>2627</v>
      </c>
      <c r="S311" s="8" t="s">
        <v>2628</v>
      </c>
      <c r="T311" s="29" t="s">
        <v>2607</v>
      </c>
      <c r="U311" s="24"/>
    </row>
    <row r="312" hidden="1">
      <c r="A312" s="30">
        <v>8.0854753E7</v>
      </c>
      <c r="B312" s="20" t="s">
        <v>2635</v>
      </c>
      <c r="C312" s="21">
        <v>0.09999999</v>
      </c>
      <c r="D312" s="21">
        <v>0.05</v>
      </c>
      <c r="E312" s="21">
        <v>0.01</v>
      </c>
      <c r="F312" s="22">
        <v>30.0</v>
      </c>
      <c r="G312" s="23"/>
      <c r="H312" s="24" t="s">
        <v>2606</v>
      </c>
      <c r="I312" s="21" t="s">
        <v>2607</v>
      </c>
      <c r="J312" s="24" t="s">
        <v>2636</v>
      </c>
      <c r="K312" s="21" t="s">
        <v>2637</v>
      </c>
      <c r="L312" s="25" t="s">
        <v>2638</v>
      </c>
      <c r="M312" s="26" t="s">
        <v>28</v>
      </c>
      <c r="N312" s="24" t="s">
        <v>2611</v>
      </c>
      <c r="O312" s="24" t="s">
        <v>2612</v>
      </c>
      <c r="P312" s="27"/>
      <c r="Q312" s="27"/>
      <c r="R312" s="28" t="s">
        <v>2639</v>
      </c>
      <c r="S312" s="33" t="s">
        <v>2640</v>
      </c>
      <c r="T312" s="29" t="s">
        <v>2607</v>
      </c>
      <c r="U312" s="24"/>
    </row>
    <row r="313" hidden="1">
      <c r="A313" s="30">
        <v>8.0831402E7</v>
      </c>
      <c r="B313" s="20" t="s">
        <v>2629</v>
      </c>
      <c r="C313" s="21">
        <v>0.09999999</v>
      </c>
      <c r="D313" s="21">
        <v>0.05</v>
      </c>
      <c r="E313" s="21">
        <v>0.01</v>
      </c>
      <c r="F313" s="22">
        <v>30.0</v>
      </c>
      <c r="G313" s="23"/>
      <c r="H313" s="24" t="s">
        <v>2606</v>
      </c>
      <c r="I313" s="21" t="s">
        <v>2607</v>
      </c>
      <c r="J313" s="24" t="s">
        <v>2630</v>
      </c>
      <c r="K313" s="21" t="s">
        <v>2631</v>
      </c>
      <c r="L313" s="25" t="s">
        <v>2632</v>
      </c>
      <c r="M313" s="26" t="s">
        <v>28</v>
      </c>
      <c r="N313" s="24" t="s">
        <v>2611</v>
      </c>
      <c r="O313" s="24" t="s">
        <v>2612</v>
      </c>
      <c r="P313" s="27"/>
      <c r="Q313" s="27"/>
      <c r="R313" s="28" t="s">
        <v>2633</v>
      </c>
      <c r="S313" s="8" t="s">
        <v>2634</v>
      </c>
      <c r="T313" s="29" t="s">
        <v>2607</v>
      </c>
      <c r="U313" s="24"/>
    </row>
    <row r="314" hidden="1">
      <c r="A314" s="30">
        <v>7.290002752349E12</v>
      </c>
      <c r="B314" s="20" t="s">
        <v>2615</v>
      </c>
      <c r="C314" s="21">
        <v>0.138</v>
      </c>
      <c r="D314" s="21">
        <v>0.022</v>
      </c>
      <c r="E314" s="21">
        <v>0.02</v>
      </c>
      <c r="F314" s="22">
        <v>15.0</v>
      </c>
      <c r="G314" s="23"/>
      <c r="H314" s="24" t="s">
        <v>2606</v>
      </c>
      <c r="I314" s="21" t="s">
        <v>2607</v>
      </c>
      <c r="J314" s="24" t="s">
        <v>2616</v>
      </c>
      <c r="K314" s="21" t="s">
        <v>2617</v>
      </c>
      <c r="L314" s="25" t="s">
        <v>2618</v>
      </c>
      <c r="M314" s="26" t="s">
        <v>37</v>
      </c>
      <c r="N314" s="24" t="s">
        <v>2611</v>
      </c>
      <c r="O314" s="24" t="s">
        <v>2612</v>
      </c>
      <c r="P314" s="27"/>
      <c r="Q314" s="27"/>
      <c r="R314" s="28" t="s">
        <v>2619</v>
      </c>
      <c r="S314" s="8" t="s">
        <v>2620</v>
      </c>
      <c r="T314" s="29" t="e">
        <v>#N/A</v>
      </c>
      <c r="U314" s="24"/>
    </row>
    <row r="315" hidden="1">
      <c r="A315" s="30">
        <v>7.290002752332E12</v>
      </c>
      <c r="B315" s="20" t="s">
        <v>2605</v>
      </c>
      <c r="C315" s="21">
        <v>0.138</v>
      </c>
      <c r="D315" s="21">
        <v>0.022</v>
      </c>
      <c r="E315" s="21">
        <v>0.02</v>
      </c>
      <c r="F315" s="22">
        <v>15.0</v>
      </c>
      <c r="G315" s="23"/>
      <c r="H315" s="24" t="s">
        <v>2606</v>
      </c>
      <c r="I315" s="21" t="s">
        <v>2607</v>
      </c>
      <c r="J315" s="24" t="s">
        <v>2608</v>
      </c>
      <c r="K315" s="21" t="s">
        <v>2609</v>
      </c>
      <c r="L315" s="25" t="s">
        <v>2610</v>
      </c>
      <c r="M315" s="26" t="s">
        <v>37</v>
      </c>
      <c r="N315" s="24" t="s">
        <v>2611</v>
      </c>
      <c r="O315" s="24" t="s">
        <v>2612</v>
      </c>
      <c r="P315" s="27"/>
      <c r="Q315" s="27"/>
      <c r="R315" s="28" t="s">
        <v>2613</v>
      </c>
      <c r="S315" s="8" t="s">
        <v>2614</v>
      </c>
      <c r="T315" s="29" t="e">
        <v>#N/A</v>
      </c>
      <c r="U315" s="24"/>
    </row>
    <row r="316" hidden="1">
      <c r="A316" s="30">
        <v>7.2917589E7</v>
      </c>
      <c r="B316" s="20" t="s">
        <v>2597</v>
      </c>
      <c r="C316" s="21">
        <v>0.14</v>
      </c>
      <c r="D316" s="21">
        <v>0.037</v>
      </c>
      <c r="E316" s="21">
        <v>0.02</v>
      </c>
      <c r="F316" s="22">
        <v>15.0</v>
      </c>
      <c r="G316" s="23"/>
      <c r="H316" s="24" t="s">
        <v>2598</v>
      </c>
      <c r="I316" s="21" t="s">
        <v>2599</v>
      </c>
      <c r="J316" s="24" t="s">
        <v>2600</v>
      </c>
      <c r="K316" s="21" t="s">
        <v>2601</v>
      </c>
      <c r="L316" s="25" t="s">
        <v>2602</v>
      </c>
      <c r="M316" s="26" t="s">
        <v>28</v>
      </c>
      <c r="N316" s="24" t="s">
        <v>501</v>
      </c>
      <c r="O316" s="24" t="s">
        <v>502</v>
      </c>
      <c r="P316" s="27"/>
      <c r="Q316" s="27"/>
      <c r="R316" s="31" t="s">
        <v>2603</v>
      </c>
      <c r="S316" s="8" t="s">
        <v>2604</v>
      </c>
      <c r="T316" s="29" t="s">
        <v>2599</v>
      </c>
      <c r="U316" s="24"/>
    </row>
    <row r="317" hidden="1">
      <c r="A317" s="30">
        <v>8.710502231018E12</v>
      </c>
      <c r="B317" s="20" t="s">
        <v>2641</v>
      </c>
      <c r="C317" s="21">
        <v>0.09</v>
      </c>
      <c r="D317" s="21">
        <v>0.16</v>
      </c>
      <c r="E317" s="21">
        <v>0.07</v>
      </c>
      <c r="F317" s="22">
        <v>4.0</v>
      </c>
      <c r="G317" s="23"/>
      <c r="H317" s="24" t="s">
        <v>2642</v>
      </c>
      <c r="I317" s="21" t="s">
        <v>2643</v>
      </c>
      <c r="J317" s="24" t="s">
        <v>2644</v>
      </c>
      <c r="K317" s="21" t="s">
        <v>2645</v>
      </c>
      <c r="L317" s="25" t="s">
        <v>2646</v>
      </c>
      <c r="M317" s="26" t="s">
        <v>37</v>
      </c>
      <c r="N317" s="24" t="s">
        <v>2364</v>
      </c>
      <c r="O317" s="24" t="s">
        <v>2647</v>
      </c>
      <c r="P317" s="27"/>
      <c r="Q317" s="27"/>
      <c r="R317" s="28" t="s">
        <v>2648</v>
      </c>
      <c r="S317" s="8" t="s">
        <v>2649</v>
      </c>
      <c r="T317" s="29" t="e">
        <v>#N/A</v>
      </c>
      <c r="U317" s="24"/>
    </row>
    <row r="318" hidden="1">
      <c r="A318" s="30">
        <v>4.6214731552E10</v>
      </c>
      <c r="B318" s="20" t="s">
        <v>2650</v>
      </c>
      <c r="C318" s="21">
        <v>0.28</v>
      </c>
      <c r="D318" s="21">
        <v>0.08</v>
      </c>
      <c r="E318" s="21">
        <v>0.05</v>
      </c>
      <c r="F318" s="22">
        <v>6.0</v>
      </c>
      <c r="G318" s="23"/>
      <c r="H318" s="24" t="s">
        <v>2642</v>
      </c>
      <c r="I318" s="21" t="s">
        <v>2643</v>
      </c>
      <c r="J318" s="24" t="s">
        <v>2651</v>
      </c>
      <c r="K318" s="21" t="s">
        <v>2652</v>
      </c>
      <c r="L318" s="25" t="s">
        <v>2653</v>
      </c>
      <c r="M318" s="26" t="s">
        <v>28</v>
      </c>
      <c r="N318" s="24" t="s">
        <v>2364</v>
      </c>
      <c r="O318" s="24" t="s">
        <v>2647</v>
      </c>
      <c r="P318" s="27"/>
      <c r="Q318" s="27"/>
      <c r="R318" s="28" t="s">
        <v>2654</v>
      </c>
      <c r="S318" s="8" t="s">
        <v>2655</v>
      </c>
      <c r="T318" s="29" t="s">
        <v>2656</v>
      </c>
      <c r="U318" s="24"/>
    </row>
    <row r="319" hidden="1">
      <c r="A319" s="30">
        <v>5.000159407236E12</v>
      </c>
      <c r="B319" s="20" t="s">
        <v>2553</v>
      </c>
      <c r="C319" s="21">
        <v>0.11</v>
      </c>
      <c r="D319" s="21">
        <v>0.032</v>
      </c>
      <c r="E319" s="21">
        <v>0.02</v>
      </c>
      <c r="F319" s="22">
        <v>15.0</v>
      </c>
      <c r="G319" s="23"/>
      <c r="H319" s="24" t="s">
        <v>2554</v>
      </c>
      <c r="I319" s="21" t="s">
        <v>2555</v>
      </c>
      <c r="J319" s="24" t="s">
        <v>2556</v>
      </c>
      <c r="K319" s="21" t="s">
        <v>2557</v>
      </c>
      <c r="L319" s="25" t="s">
        <v>2558</v>
      </c>
      <c r="M319" s="26" t="s">
        <v>28</v>
      </c>
      <c r="N319" s="24" t="s">
        <v>501</v>
      </c>
      <c r="O319" s="24" t="s">
        <v>502</v>
      </c>
      <c r="P319" s="27"/>
      <c r="Q319" s="27"/>
      <c r="R319" s="31" t="s">
        <v>2559</v>
      </c>
      <c r="S319" s="33" t="s">
        <v>2560</v>
      </c>
      <c r="T319" s="29" t="s">
        <v>2555</v>
      </c>
      <c r="U319" s="24"/>
    </row>
    <row r="320" hidden="1">
      <c r="A320" s="30">
        <v>8.69012006017E12</v>
      </c>
      <c r="B320" s="20" t="s">
        <v>3149</v>
      </c>
      <c r="C320" s="21">
        <v>0.11</v>
      </c>
      <c r="D320" s="21">
        <v>0.03</v>
      </c>
      <c r="E320" s="21">
        <v>0.02</v>
      </c>
      <c r="F320" s="22">
        <v>15.0</v>
      </c>
      <c r="G320" s="23"/>
      <c r="H320" s="24" t="s">
        <v>3150</v>
      </c>
      <c r="I320" s="21" t="s">
        <v>3151</v>
      </c>
      <c r="J320" s="24" t="s">
        <v>3152</v>
      </c>
      <c r="K320" s="21" t="s">
        <v>3153</v>
      </c>
      <c r="L320" s="25" t="s">
        <v>3154</v>
      </c>
      <c r="M320" s="26" t="s">
        <v>28</v>
      </c>
      <c r="N320" s="24" t="s">
        <v>501</v>
      </c>
      <c r="O320" s="24" t="s">
        <v>502</v>
      </c>
      <c r="P320" s="27"/>
      <c r="Q320" s="27"/>
      <c r="R320" s="31" t="s">
        <v>3155</v>
      </c>
      <c r="S320" s="33" t="s">
        <v>3156</v>
      </c>
      <c r="T320" s="29" t="s">
        <v>3157</v>
      </c>
      <c r="U320" s="24"/>
    </row>
    <row r="321" hidden="1">
      <c r="A321" s="30">
        <v>7.290002331025E12</v>
      </c>
      <c r="B321" s="20" t="s">
        <v>3051</v>
      </c>
      <c r="C321" s="21">
        <v>0.065</v>
      </c>
      <c r="D321" s="21">
        <v>0.23</v>
      </c>
      <c r="E321" s="21">
        <v>0.065</v>
      </c>
      <c r="F321" s="22">
        <v>5.0</v>
      </c>
      <c r="G321" s="23"/>
      <c r="H321" s="24" t="s">
        <v>3032</v>
      </c>
      <c r="I321" s="21" t="s">
        <v>3033</v>
      </c>
      <c r="J321" s="24" t="s">
        <v>3052</v>
      </c>
      <c r="K321" s="21" t="s">
        <v>3053</v>
      </c>
      <c r="L321" s="25" t="s">
        <v>3054</v>
      </c>
      <c r="M321" s="26" t="s">
        <v>37</v>
      </c>
      <c r="N321" s="24" t="s">
        <v>137</v>
      </c>
      <c r="O321" s="24" t="s">
        <v>2663</v>
      </c>
      <c r="P321" s="27"/>
      <c r="Q321" s="27"/>
      <c r="R321" s="28" t="s">
        <v>3055</v>
      </c>
      <c r="S321" s="8" t="s">
        <v>3056</v>
      </c>
      <c r="T321" s="29" t="e">
        <v>#N/A</v>
      </c>
      <c r="U321" s="24"/>
    </row>
    <row r="322" hidden="1">
      <c r="A322" s="30">
        <v>7.290002331018E12</v>
      </c>
      <c r="B322" s="20" t="s">
        <v>3045</v>
      </c>
      <c r="C322" s="21">
        <v>0.068</v>
      </c>
      <c r="D322" s="21">
        <v>0.2</v>
      </c>
      <c r="E322" s="21">
        <v>0.068</v>
      </c>
      <c r="F322" s="22">
        <v>4.0</v>
      </c>
      <c r="G322" s="23"/>
      <c r="H322" s="24" t="s">
        <v>3032</v>
      </c>
      <c r="I322" s="21" t="s">
        <v>3033</v>
      </c>
      <c r="J322" s="24" t="s">
        <v>3046</v>
      </c>
      <c r="K322" s="21" t="s">
        <v>3047</v>
      </c>
      <c r="L322" s="25" t="s">
        <v>3048</v>
      </c>
      <c r="M322" s="26" t="s">
        <v>37</v>
      </c>
      <c r="N322" s="24" t="s">
        <v>137</v>
      </c>
      <c r="O322" s="24" t="s">
        <v>2663</v>
      </c>
      <c r="P322" s="27"/>
      <c r="Q322" s="27"/>
      <c r="R322" s="31" t="s">
        <v>3049</v>
      </c>
      <c r="S322" s="8" t="s">
        <v>3050</v>
      </c>
      <c r="T322" s="29" t="e">
        <v>#N/A</v>
      </c>
      <c r="U322" s="24"/>
    </row>
    <row r="323" hidden="1">
      <c r="A323" s="30">
        <v>7.290002331162E12</v>
      </c>
      <c r="B323" s="20" t="s">
        <v>3039</v>
      </c>
      <c r="C323" s="21">
        <v>0.087</v>
      </c>
      <c r="D323" s="21">
        <v>0.34</v>
      </c>
      <c r="E323" s="21">
        <v>0.085</v>
      </c>
      <c r="F323" s="22">
        <v>4.0</v>
      </c>
      <c r="G323" s="23"/>
      <c r="H323" s="24" t="s">
        <v>3032</v>
      </c>
      <c r="I323" s="21" t="s">
        <v>3033</v>
      </c>
      <c r="J323" s="24" t="s">
        <v>3040</v>
      </c>
      <c r="K323" s="21" t="s">
        <v>3041</v>
      </c>
      <c r="L323" s="25" t="s">
        <v>3042</v>
      </c>
      <c r="M323" s="26" t="s">
        <v>37</v>
      </c>
      <c r="N323" s="24" t="s">
        <v>137</v>
      </c>
      <c r="O323" s="24" t="s">
        <v>138</v>
      </c>
      <c r="P323" s="27"/>
      <c r="Q323" s="27"/>
      <c r="R323" s="28" t="s">
        <v>3043</v>
      </c>
      <c r="S323" s="33" t="s">
        <v>3044</v>
      </c>
      <c r="T323" s="29" t="e">
        <v>#N/A</v>
      </c>
      <c r="U323" s="24"/>
    </row>
    <row r="324" hidden="1">
      <c r="A324" s="30">
        <v>7.29000233149E12</v>
      </c>
      <c r="B324" s="20" t="s">
        <v>3031</v>
      </c>
      <c r="C324" s="21">
        <v>0.0868</v>
      </c>
      <c r="D324" s="21">
        <v>0.244</v>
      </c>
      <c r="E324" s="21">
        <v>0.0868</v>
      </c>
      <c r="F324" s="22">
        <v>3.0</v>
      </c>
      <c r="G324" s="23"/>
      <c r="H324" s="24" t="s">
        <v>3032</v>
      </c>
      <c r="I324" s="21" t="s">
        <v>3033</v>
      </c>
      <c r="J324" s="24" t="s">
        <v>3034</v>
      </c>
      <c r="K324" s="21" t="s">
        <v>3035</v>
      </c>
      <c r="L324" s="25" t="s">
        <v>3036</v>
      </c>
      <c r="M324" s="26" t="s">
        <v>37</v>
      </c>
      <c r="N324" s="24" t="s">
        <v>137</v>
      </c>
      <c r="O324" s="24" t="s">
        <v>138</v>
      </c>
      <c r="P324" s="27"/>
      <c r="Q324" s="27"/>
      <c r="R324" s="28" t="s">
        <v>3037</v>
      </c>
      <c r="S324" s="8" t="s">
        <v>3038</v>
      </c>
      <c r="T324" s="29" t="e">
        <v>#N/A</v>
      </c>
      <c r="U324" s="24"/>
    </row>
    <row r="325" hidden="1">
      <c r="A325" s="30">
        <v>7.290002331155E12</v>
      </c>
      <c r="B325" s="20" t="s">
        <v>3068</v>
      </c>
      <c r="C325" s="21">
        <v>0.068</v>
      </c>
      <c r="D325" s="21">
        <v>0.2</v>
      </c>
      <c r="E325" s="21">
        <v>0.068</v>
      </c>
      <c r="F325" s="22">
        <v>4.0</v>
      </c>
      <c r="G325" s="23"/>
      <c r="H325" s="24" t="s">
        <v>3058</v>
      </c>
      <c r="I325" s="21" t="s">
        <v>3059</v>
      </c>
      <c r="J325" s="24" t="s">
        <v>3069</v>
      </c>
      <c r="K325" s="21" t="s">
        <v>3070</v>
      </c>
      <c r="L325" s="25" t="s">
        <v>3071</v>
      </c>
      <c r="M325" s="26" t="s">
        <v>37</v>
      </c>
      <c r="N325" s="24" t="s">
        <v>3064</v>
      </c>
      <c r="O325" s="24" t="s">
        <v>3065</v>
      </c>
      <c r="P325" s="27"/>
      <c r="Q325" s="27"/>
      <c r="R325" s="28" t="s">
        <v>3072</v>
      </c>
      <c r="S325" s="8" t="s">
        <v>3073</v>
      </c>
      <c r="T325" s="29" t="e">
        <v>#N/A</v>
      </c>
      <c r="U325" s="24"/>
    </row>
    <row r="326" hidden="1">
      <c r="A326" s="30">
        <v>7.290002331124E12</v>
      </c>
      <c r="B326" s="20" t="s">
        <v>3057</v>
      </c>
      <c r="C326" s="21">
        <v>0.068</v>
      </c>
      <c r="D326" s="21">
        <v>0.2</v>
      </c>
      <c r="E326" s="21">
        <v>0.068</v>
      </c>
      <c r="F326" s="22">
        <v>4.0</v>
      </c>
      <c r="G326" s="23"/>
      <c r="H326" s="24" t="s">
        <v>3058</v>
      </c>
      <c r="I326" s="21" t="s">
        <v>3059</v>
      </c>
      <c r="J326" s="24" t="s">
        <v>3061</v>
      </c>
      <c r="K326" s="21" t="s">
        <v>3062</v>
      </c>
      <c r="L326" s="25" t="s">
        <v>3063</v>
      </c>
      <c r="M326" s="26" t="s">
        <v>37</v>
      </c>
      <c r="N326" s="24" t="s">
        <v>3064</v>
      </c>
      <c r="O326" s="24" t="s">
        <v>3065</v>
      </c>
      <c r="P326" s="27"/>
      <c r="Q326" s="27"/>
      <c r="R326" s="28" t="s">
        <v>3066</v>
      </c>
      <c r="S326" s="33" t="s">
        <v>3067</v>
      </c>
      <c r="T326" s="29" t="e">
        <v>#N/A</v>
      </c>
      <c r="U326" s="24"/>
    </row>
    <row r="327" hidden="1">
      <c r="A327" s="30">
        <v>7.290002331711E12</v>
      </c>
      <c r="B327" s="20" t="s">
        <v>3106</v>
      </c>
      <c r="C327" s="21">
        <v>0.068</v>
      </c>
      <c r="D327" s="21">
        <v>0.2</v>
      </c>
      <c r="E327" s="21">
        <v>0.068</v>
      </c>
      <c r="F327" s="22">
        <v>4.0</v>
      </c>
      <c r="G327" s="23"/>
      <c r="H327" s="24" t="s">
        <v>3058</v>
      </c>
      <c r="I327" s="21" t="s">
        <v>3059</v>
      </c>
      <c r="J327" s="24" t="s">
        <v>3107</v>
      </c>
      <c r="K327" s="21" t="s">
        <v>3108</v>
      </c>
      <c r="L327" s="25" t="s">
        <v>3109</v>
      </c>
      <c r="M327" s="26" t="s">
        <v>37</v>
      </c>
      <c r="N327" s="24" t="s">
        <v>3064</v>
      </c>
      <c r="O327" s="24" t="s">
        <v>3065</v>
      </c>
      <c r="P327" s="27"/>
      <c r="Q327" s="27"/>
      <c r="R327" s="31" t="s">
        <v>3110</v>
      </c>
      <c r="S327" s="8" t="s">
        <v>3111</v>
      </c>
      <c r="T327" s="29" t="e">
        <v>#N/A</v>
      </c>
      <c r="U327" s="24"/>
    </row>
    <row r="328" hidden="1">
      <c r="A328" s="30">
        <v>7.290015493192E12</v>
      </c>
      <c r="B328" s="20" t="s">
        <v>3100</v>
      </c>
      <c r="C328" s="21">
        <v>0.068</v>
      </c>
      <c r="D328" s="21">
        <v>0.2</v>
      </c>
      <c r="E328" s="21">
        <v>0.068</v>
      </c>
      <c r="F328" s="22">
        <v>4.0</v>
      </c>
      <c r="G328" s="23"/>
      <c r="H328" s="24" t="s">
        <v>3058</v>
      </c>
      <c r="I328" s="21" t="s">
        <v>3059</v>
      </c>
      <c r="J328" s="24" t="s">
        <v>3101</v>
      </c>
      <c r="K328" s="21" t="s">
        <v>3102</v>
      </c>
      <c r="L328" s="25" t="s">
        <v>3103</v>
      </c>
      <c r="M328" s="26" t="s">
        <v>28</v>
      </c>
      <c r="N328" s="24" t="s">
        <v>3064</v>
      </c>
      <c r="O328" s="24" t="s">
        <v>3065</v>
      </c>
      <c r="P328" s="27"/>
      <c r="Q328" s="27"/>
      <c r="R328" s="31" t="s">
        <v>3104</v>
      </c>
      <c r="S328" s="33" t="s">
        <v>3105</v>
      </c>
      <c r="T328" s="29" t="s">
        <v>3099</v>
      </c>
      <c r="U328" s="24"/>
    </row>
    <row r="329" hidden="1">
      <c r="A329" s="30">
        <v>7.290015493208E12</v>
      </c>
      <c r="B329" s="20" t="s">
        <v>3093</v>
      </c>
      <c r="C329" s="21">
        <v>0.068</v>
      </c>
      <c r="D329" s="21">
        <v>0.2</v>
      </c>
      <c r="E329" s="21">
        <v>0.068</v>
      </c>
      <c r="F329" s="22">
        <v>4.0</v>
      </c>
      <c r="G329" s="23"/>
      <c r="H329" s="24" t="s">
        <v>3058</v>
      </c>
      <c r="I329" s="21" t="s">
        <v>3059</v>
      </c>
      <c r="J329" s="24" t="s">
        <v>3094</v>
      </c>
      <c r="K329" s="21" t="s">
        <v>3095</v>
      </c>
      <c r="L329" s="25" t="s">
        <v>3096</v>
      </c>
      <c r="M329" s="26" t="s">
        <v>28</v>
      </c>
      <c r="N329" s="24" t="s">
        <v>3064</v>
      </c>
      <c r="O329" s="24" t="s">
        <v>3065</v>
      </c>
      <c r="P329" s="27"/>
      <c r="Q329" s="27"/>
      <c r="R329" s="28" t="s">
        <v>3097</v>
      </c>
      <c r="S329" s="8" t="s">
        <v>3098</v>
      </c>
      <c r="T329" s="29" t="s">
        <v>3099</v>
      </c>
      <c r="U329" s="24"/>
    </row>
    <row r="330" hidden="1">
      <c r="A330" s="30">
        <v>7.290002331179E12</v>
      </c>
      <c r="B330" s="20" t="s">
        <v>3087</v>
      </c>
      <c r="C330" s="21">
        <v>0.095</v>
      </c>
      <c r="D330" s="21">
        <v>0.3</v>
      </c>
      <c r="E330" s="21">
        <v>0.095</v>
      </c>
      <c r="F330" s="22">
        <v>3.0</v>
      </c>
      <c r="G330" s="23"/>
      <c r="H330" s="24" t="s">
        <v>3058</v>
      </c>
      <c r="I330" s="21" t="s">
        <v>3059</v>
      </c>
      <c r="J330" s="24" t="s">
        <v>3088</v>
      </c>
      <c r="K330" s="21" t="s">
        <v>3089</v>
      </c>
      <c r="L330" s="25" t="s">
        <v>3090</v>
      </c>
      <c r="M330" s="26" t="s">
        <v>37</v>
      </c>
      <c r="N330" s="24" t="s">
        <v>3064</v>
      </c>
      <c r="O330" s="24" t="s">
        <v>3078</v>
      </c>
      <c r="P330" s="27"/>
      <c r="Q330" s="27"/>
      <c r="R330" s="28" t="s">
        <v>3091</v>
      </c>
      <c r="S330" s="8" t="s">
        <v>3092</v>
      </c>
      <c r="T330" s="29" t="e">
        <v>#N/A</v>
      </c>
      <c r="U330" s="24"/>
    </row>
    <row r="331" hidden="1">
      <c r="A331" s="30">
        <v>7.290002331117E12</v>
      </c>
      <c r="B331" s="20" t="s">
        <v>3081</v>
      </c>
      <c r="C331" s="21">
        <v>0.095</v>
      </c>
      <c r="D331" s="21">
        <v>0.3</v>
      </c>
      <c r="E331" s="21">
        <v>0.095</v>
      </c>
      <c r="F331" s="22">
        <v>3.0</v>
      </c>
      <c r="G331" s="23"/>
      <c r="H331" s="24" t="s">
        <v>3058</v>
      </c>
      <c r="I331" s="21" t="s">
        <v>3059</v>
      </c>
      <c r="J331" s="24" t="s">
        <v>3082</v>
      </c>
      <c r="K331" s="21" t="s">
        <v>3083</v>
      </c>
      <c r="L331" s="25" t="s">
        <v>3084</v>
      </c>
      <c r="M331" s="26" t="s">
        <v>37</v>
      </c>
      <c r="N331" s="24" t="s">
        <v>3064</v>
      </c>
      <c r="O331" s="24" t="s">
        <v>3078</v>
      </c>
      <c r="P331" s="27"/>
      <c r="Q331" s="27"/>
      <c r="R331" s="28" t="s">
        <v>3085</v>
      </c>
      <c r="S331" s="8" t="s">
        <v>3086</v>
      </c>
      <c r="T331" s="29" t="e">
        <v>#N/A</v>
      </c>
      <c r="U331" s="24"/>
    </row>
    <row r="332" hidden="1">
      <c r="A332" s="30">
        <v>7.290002331148E12</v>
      </c>
      <c r="B332" s="20" t="s">
        <v>3074</v>
      </c>
      <c r="C332" s="21">
        <v>0.095</v>
      </c>
      <c r="D332" s="21">
        <v>0.3</v>
      </c>
      <c r="E332" s="21">
        <v>0.095</v>
      </c>
      <c r="F332" s="22">
        <v>3.0</v>
      </c>
      <c r="G332" s="23"/>
      <c r="H332" s="24" t="s">
        <v>3058</v>
      </c>
      <c r="I332" s="21" t="s">
        <v>3059</v>
      </c>
      <c r="J332" s="24" t="s">
        <v>3075</v>
      </c>
      <c r="K332" s="21" t="s">
        <v>3076</v>
      </c>
      <c r="L332" s="25" t="s">
        <v>3077</v>
      </c>
      <c r="M332" s="26" t="s">
        <v>37</v>
      </c>
      <c r="N332" s="24" t="s">
        <v>3064</v>
      </c>
      <c r="O332" s="24" t="s">
        <v>3078</v>
      </c>
      <c r="P332" s="27"/>
      <c r="Q332" s="27"/>
      <c r="R332" s="28" t="s">
        <v>3079</v>
      </c>
      <c r="S332" s="8" t="s">
        <v>3080</v>
      </c>
      <c r="T332" s="29" t="e">
        <v>#N/A</v>
      </c>
      <c r="U332" s="24"/>
    </row>
    <row r="333" hidden="1">
      <c r="A333" s="30">
        <v>8.000500227848E12</v>
      </c>
      <c r="B333" s="20" t="s">
        <v>3158</v>
      </c>
      <c r="C333" s="21">
        <v>0.132</v>
      </c>
      <c r="D333" s="21">
        <v>0.161</v>
      </c>
      <c r="E333" s="21">
        <v>0.045</v>
      </c>
      <c r="F333" s="22">
        <v>7.0</v>
      </c>
      <c r="G333" s="23"/>
      <c r="H333" s="24" t="s">
        <v>3159</v>
      </c>
      <c r="I333" s="21" t="s">
        <v>3160</v>
      </c>
      <c r="J333" s="24" t="s">
        <v>3161</v>
      </c>
      <c r="K333" s="21" t="s">
        <v>3162</v>
      </c>
      <c r="L333" s="25" t="s">
        <v>3163</v>
      </c>
      <c r="M333" s="26" t="s">
        <v>28</v>
      </c>
      <c r="N333" s="24" t="s">
        <v>2364</v>
      </c>
      <c r="O333" s="24" t="s">
        <v>3164</v>
      </c>
      <c r="P333" s="27"/>
      <c r="Q333" s="27"/>
      <c r="R333" s="28" t="s">
        <v>3165</v>
      </c>
      <c r="S333" s="8" t="s">
        <v>3166</v>
      </c>
      <c r="T333" s="29" t="s">
        <v>3167</v>
      </c>
      <c r="U333" s="24"/>
    </row>
    <row r="334" hidden="1">
      <c r="A334" s="30">
        <v>7.290106662964E12</v>
      </c>
      <c r="B334" s="20" t="s">
        <v>3138</v>
      </c>
      <c r="C334" s="21">
        <v>0.09999999</v>
      </c>
      <c r="D334" s="21">
        <v>0.14</v>
      </c>
      <c r="E334" s="21">
        <v>0.015</v>
      </c>
      <c r="F334" s="22">
        <v>20.0</v>
      </c>
      <c r="G334" s="23"/>
      <c r="H334" s="24" t="s">
        <v>3139</v>
      </c>
      <c r="I334" s="21" t="s">
        <v>3140</v>
      </c>
      <c r="J334" s="24" t="s">
        <v>3141</v>
      </c>
      <c r="K334" s="21" t="s">
        <v>3142</v>
      </c>
      <c r="L334" s="25" t="s">
        <v>3143</v>
      </c>
      <c r="M334" s="26" t="s">
        <v>28</v>
      </c>
      <c r="N334" s="24" t="s">
        <v>3144</v>
      </c>
      <c r="O334" s="24" t="s">
        <v>3145</v>
      </c>
      <c r="P334" s="27"/>
      <c r="Q334" s="27"/>
      <c r="R334" s="31" t="s">
        <v>3146</v>
      </c>
      <c r="S334" s="8" t="s">
        <v>3147</v>
      </c>
      <c r="T334" s="29" t="s">
        <v>3148</v>
      </c>
      <c r="U334" s="24"/>
    </row>
    <row r="335" hidden="1">
      <c r="A335" s="30">
        <v>7.290100247815E12</v>
      </c>
      <c r="B335" s="20" t="s">
        <v>2936</v>
      </c>
      <c r="C335" s="21">
        <v>0.065</v>
      </c>
      <c r="D335" s="21">
        <v>0.09999999</v>
      </c>
      <c r="E335" s="21">
        <v>0.02</v>
      </c>
      <c r="F335" s="22">
        <v>15.0</v>
      </c>
      <c r="G335" s="23"/>
      <c r="H335" s="24" t="s">
        <v>2926</v>
      </c>
      <c r="I335" s="21" t="s">
        <v>2927</v>
      </c>
      <c r="J335" s="24" t="s">
        <v>2937</v>
      </c>
      <c r="K335" s="21" t="s">
        <v>2938</v>
      </c>
      <c r="L335" s="25" t="s">
        <v>2939</v>
      </c>
      <c r="M335" s="26" t="s">
        <v>28</v>
      </c>
      <c r="N335" s="24" t="s">
        <v>2931</v>
      </c>
      <c r="O335" s="24" t="s">
        <v>2932</v>
      </c>
      <c r="P335" s="27"/>
      <c r="Q335" s="27"/>
      <c r="R335" s="31" t="s">
        <v>2940</v>
      </c>
      <c r="S335" s="33" t="s">
        <v>2941</v>
      </c>
      <c r="T335" s="29" t="s">
        <v>2935</v>
      </c>
      <c r="U335" s="24"/>
    </row>
    <row r="336" hidden="1">
      <c r="A336" s="30">
        <v>7.290100247822E12</v>
      </c>
      <c r="B336" s="20" t="s">
        <v>2961</v>
      </c>
      <c r="C336" s="21">
        <v>0.065</v>
      </c>
      <c r="D336" s="21">
        <v>0.09999999</v>
      </c>
      <c r="E336" s="21">
        <v>0.02</v>
      </c>
      <c r="F336" s="22">
        <v>15.0</v>
      </c>
      <c r="G336" s="23"/>
      <c r="H336" s="24" t="s">
        <v>2926</v>
      </c>
      <c r="I336" s="21" t="s">
        <v>2927</v>
      </c>
      <c r="J336" s="24" t="s">
        <v>2962</v>
      </c>
      <c r="K336" s="21" t="s">
        <v>2963</v>
      </c>
      <c r="L336" s="25" t="s">
        <v>2964</v>
      </c>
      <c r="M336" s="26" t="s">
        <v>28</v>
      </c>
      <c r="N336" s="24" t="s">
        <v>2931</v>
      </c>
      <c r="O336" s="24" t="s">
        <v>2932</v>
      </c>
      <c r="P336" s="27"/>
      <c r="Q336" s="27"/>
      <c r="R336" s="28" t="s">
        <v>2965</v>
      </c>
      <c r="S336" s="8" t="s">
        <v>2966</v>
      </c>
      <c r="T336" s="29" t="s">
        <v>2935</v>
      </c>
      <c r="U336" s="24"/>
    </row>
    <row r="337" hidden="1">
      <c r="A337" s="30">
        <v>7.290100247808E12</v>
      </c>
      <c r="B337" s="20" t="s">
        <v>2925</v>
      </c>
      <c r="C337" s="21">
        <v>0.065</v>
      </c>
      <c r="D337" s="21">
        <v>0.09999999</v>
      </c>
      <c r="E337" s="21">
        <v>0.02</v>
      </c>
      <c r="F337" s="22">
        <v>15.0</v>
      </c>
      <c r="G337" s="23"/>
      <c r="H337" s="24" t="s">
        <v>2926</v>
      </c>
      <c r="I337" s="21" t="s">
        <v>2927</v>
      </c>
      <c r="J337" s="24" t="s">
        <v>2928</v>
      </c>
      <c r="K337" s="21" t="s">
        <v>2929</v>
      </c>
      <c r="L337" s="25" t="s">
        <v>2930</v>
      </c>
      <c r="M337" s="26" t="s">
        <v>28</v>
      </c>
      <c r="N337" s="24" t="s">
        <v>2931</v>
      </c>
      <c r="O337" s="24" t="s">
        <v>2932</v>
      </c>
      <c r="P337" s="27"/>
      <c r="Q337" s="27"/>
      <c r="R337" s="28" t="s">
        <v>2933</v>
      </c>
      <c r="S337" s="8" t="s">
        <v>2934</v>
      </c>
      <c r="T337" s="29" t="s">
        <v>2935</v>
      </c>
      <c r="U337" s="24"/>
    </row>
    <row r="338" hidden="1">
      <c r="A338" s="30">
        <v>7.290112497291E12</v>
      </c>
      <c r="B338" s="20" t="s">
        <v>2949</v>
      </c>
      <c r="C338" s="21">
        <v>0.065</v>
      </c>
      <c r="D338" s="21">
        <v>0.09999999</v>
      </c>
      <c r="E338" s="21">
        <v>0.017</v>
      </c>
      <c r="F338" s="22">
        <v>18.0</v>
      </c>
      <c r="G338" s="23"/>
      <c r="H338" s="24" t="s">
        <v>2926</v>
      </c>
      <c r="I338" s="21" t="s">
        <v>2927</v>
      </c>
      <c r="J338" s="24" t="s">
        <v>2950</v>
      </c>
      <c r="K338" s="21" t="s">
        <v>2951</v>
      </c>
      <c r="L338" s="25" t="s">
        <v>2952</v>
      </c>
      <c r="M338" s="26" t="s">
        <v>28</v>
      </c>
      <c r="N338" s="24" t="s">
        <v>2931</v>
      </c>
      <c r="O338" s="24" t="s">
        <v>2932</v>
      </c>
      <c r="P338" s="27"/>
      <c r="Q338" s="27"/>
      <c r="R338" s="28" t="s">
        <v>2953</v>
      </c>
      <c r="S338" s="33" t="s">
        <v>2954</v>
      </c>
      <c r="T338" s="29" t="s">
        <v>2948</v>
      </c>
      <c r="U338" s="24"/>
    </row>
    <row r="339" hidden="1">
      <c r="A339" s="30">
        <v>7.290112497284E12</v>
      </c>
      <c r="B339" s="20" t="s">
        <v>2942</v>
      </c>
      <c r="C339" s="21">
        <v>0.065</v>
      </c>
      <c r="D339" s="21">
        <v>0.09999999</v>
      </c>
      <c r="E339" s="21">
        <v>0.02</v>
      </c>
      <c r="F339" s="22">
        <v>15.0</v>
      </c>
      <c r="G339" s="23"/>
      <c r="H339" s="24" t="s">
        <v>2926</v>
      </c>
      <c r="I339" s="21" t="s">
        <v>2927</v>
      </c>
      <c r="J339" s="24" t="s">
        <v>2943</v>
      </c>
      <c r="K339" s="21" t="s">
        <v>2944</v>
      </c>
      <c r="L339" s="25" t="s">
        <v>2945</v>
      </c>
      <c r="M339" s="26" t="s">
        <v>28</v>
      </c>
      <c r="N339" s="24" t="s">
        <v>2931</v>
      </c>
      <c r="O339" s="24" t="s">
        <v>2932</v>
      </c>
      <c r="P339" s="27"/>
      <c r="Q339" s="27"/>
      <c r="R339" s="28" t="s">
        <v>2946</v>
      </c>
      <c r="S339" s="8" t="s">
        <v>2947</v>
      </c>
      <c r="T339" s="29" t="s">
        <v>2948</v>
      </c>
      <c r="U339" s="24"/>
    </row>
    <row r="340" hidden="1">
      <c r="A340" s="30">
        <v>7.290100247839E12</v>
      </c>
      <c r="B340" s="20" t="s">
        <v>2955</v>
      </c>
      <c r="C340" s="21">
        <v>0.065</v>
      </c>
      <c r="D340" s="21">
        <v>0.09999999</v>
      </c>
      <c r="E340" s="21">
        <v>0.02</v>
      </c>
      <c r="F340" s="22">
        <v>15.0</v>
      </c>
      <c r="G340" s="23"/>
      <c r="H340" s="24" t="s">
        <v>2926</v>
      </c>
      <c r="I340" s="21" t="s">
        <v>2927</v>
      </c>
      <c r="J340" s="24" t="s">
        <v>2956</v>
      </c>
      <c r="K340" s="21" t="s">
        <v>2957</v>
      </c>
      <c r="L340" s="25" t="s">
        <v>2958</v>
      </c>
      <c r="M340" s="26" t="s">
        <v>28</v>
      </c>
      <c r="N340" s="24" t="s">
        <v>2931</v>
      </c>
      <c r="O340" s="24" t="s">
        <v>2932</v>
      </c>
      <c r="P340" s="27"/>
      <c r="Q340" s="27"/>
      <c r="R340" s="28" t="s">
        <v>2959</v>
      </c>
      <c r="S340" s="8" t="s">
        <v>2960</v>
      </c>
      <c r="T340" s="29" t="s">
        <v>2935</v>
      </c>
      <c r="U340" s="24"/>
    </row>
    <row r="341" hidden="1">
      <c r="A341" s="30">
        <v>8.005200486526E12</v>
      </c>
      <c r="B341" s="20" t="s">
        <v>3025</v>
      </c>
      <c r="C341" s="21">
        <v>0.066</v>
      </c>
      <c r="D341" s="21">
        <v>0.215</v>
      </c>
      <c r="E341" s="21">
        <v>0.066</v>
      </c>
      <c r="F341" s="22">
        <v>5.0</v>
      </c>
      <c r="G341" s="23"/>
      <c r="H341" s="24" t="s">
        <v>3018</v>
      </c>
      <c r="I341" s="21" t="s">
        <v>3019</v>
      </c>
      <c r="J341" s="24" t="s">
        <v>3026</v>
      </c>
      <c r="K341" s="21" t="s">
        <v>3027</v>
      </c>
      <c r="L341" s="25" t="s">
        <v>3028</v>
      </c>
      <c r="M341" s="26" t="s">
        <v>28</v>
      </c>
      <c r="N341" s="24" t="s">
        <v>149</v>
      </c>
      <c r="O341" s="24" t="s">
        <v>150</v>
      </c>
      <c r="P341" s="27"/>
      <c r="Q341" s="27"/>
      <c r="R341" s="28" t="s">
        <v>3029</v>
      </c>
      <c r="S341" s="8" t="s">
        <v>3030</v>
      </c>
      <c r="T341" s="29" t="s">
        <v>3019</v>
      </c>
      <c r="U341" s="24"/>
    </row>
    <row r="342" hidden="1">
      <c r="A342" s="30">
        <v>8.005200496525E12</v>
      </c>
      <c r="B342" s="20" t="s">
        <v>3017</v>
      </c>
      <c r="C342" s="21">
        <v>0.08899999</v>
      </c>
      <c r="D342" s="21">
        <v>0.322</v>
      </c>
      <c r="E342" s="21">
        <v>0.08899999</v>
      </c>
      <c r="F342" s="22">
        <v>3.0</v>
      </c>
      <c r="G342" s="23"/>
      <c r="H342" s="24" t="s">
        <v>3018</v>
      </c>
      <c r="I342" s="21" t="s">
        <v>3019</v>
      </c>
      <c r="J342" s="24" t="s">
        <v>3020</v>
      </c>
      <c r="K342" s="21" t="s">
        <v>3021</v>
      </c>
      <c r="L342" s="25" t="s">
        <v>3022</v>
      </c>
      <c r="M342" s="26" t="s">
        <v>37</v>
      </c>
      <c r="N342" s="24" t="s">
        <v>149</v>
      </c>
      <c r="O342" s="24" t="s">
        <v>163</v>
      </c>
      <c r="P342" s="27"/>
      <c r="Q342" s="27"/>
      <c r="R342" s="28" t="s">
        <v>3023</v>
      </c>
      <c r="S342" s="8" t="s">
        <v>3024</v>
      </c>
      <c r="T342" s="29" t="e">
        <v>#N/A</v>
      </c>
      <c r="U342" s="24"/>
    </row>
    <row r="343" hidden="1">
      <c r="A343" s="30">
        <v>4129118.0</v>
      </c>
      <c r="B343" s="20" t="s">
        <v>2967</v>
      </c>
      <c r="C343" s="21">
        <v>0.09</v>
      </c>
      <c r="D343" s="21">
        <v>0.095</v>
      </c>
      <c r="E343" s="21">
        <v>0.065</v>
      </c>
      <c r="F343" s="22">
        <v>5.0</v>
      </c>
      <c r="G343" s="23"/>
      <c r="H343" s="24" t="s">
        <v>2968</v>
      </c>
      <c r="I343" s="21" t="s">
        <v>2969</v>
      </c>
      <c r="J343" s="24" t="s">
        <v>2970</v>
      </c>
      <c r="K343" s="21" t="s">
        <v>2971</v>
      </c>
      <c r="L343" s="25" t="s">
        <v>2972</v>
      </c>
      <c r="M343" s="26" t="s">
        <v>28</v>
      </c>
      <c r="N343" s="24" t="s">
        <v>2973</v>
      </c>
      <c r="O343" s="24" t="s">
        <v>2974</v>
      </c>
      <c r="P343" s="27"/>
      <c r="Q343" s="27"/>
      <c r="R343" s="28" t="s">
        <v>2975</v>
      </c>
      <c r="S343" s="8" t="s">
        <v>2976</v>
      </c>
      <c r="T343" s="29" t="s">
        <v>2969</v>
      </c>
      <c r="U343" s="24"/>
    </row>
    <row r="344" hidden="1">
      <c r="A344" s="30">
        <v>4129156.0</v>
      </c>
      <c r="B344" s="20" t="s">
        <v>2977</v>
      </c>
      <c r="C344" s="21">
        <v>0.09</v>
      </c>
      <c r="D344" s="21">
        <v>0.095</v>
      </c>
      <c r="E344" s="21">
        <v>0.075</v>
      </c>
      <c r="F344" s="22">
        <v>4.0</v>
      </c>
      <c r="G344" s="23"/>
      <c r="H344" s="24" t="s">
        <v>2968</v>
      </c>
      <c r="I344" s="21" t="s">
        <v>2969</v>
      </c>
      <c r="J344" s="24" t="s">
        <v>2978</v>
      </c>
      <c r="K344" s="21" t="s">
        <v>2979</v>
      </c>
      <c r="L344" s="25" t="s">
        <v>2980</v>
      </c>
      <c r="M344" s="26" t="s">
        <v>28</v>
      </c>
      <c r="N344" s="24" t="s">
        <v>2973</v>
      </c>
      <c r="O344" s="24" t="s">
        <v>2974</v>
      </c>
      <c r="P344" s="27"/>
      <c r="Q344" s="27"/>
      <c r="R344" s="28" t="s">
        <v>2981</v>
      </c>
      <c r="S344" s="8" t="s">
        <v>2982</v>
      </c>
      <c r="T344" s="29" t="s">
        <v>2969</v>
      </c>
      <c r="U344" s="24"/>
    </row>
    <row r="345" hidden="1">
      <c r="A345" s="30">
        <v>4129101.0</v>
      </c>
      <c r="B345" s="20" t="s">
        <v>2983</v>
      </c>
      <c r="C345" s="21">
        <v>0.09</v>
      </c>
      <c r="D345" s="21">
        <v>0.095</v>
      </c>
      <c r="E345" s="21">
        <v>0.065</v>
      </c>
      <c r="F345" s="22">
        <v>5.0</v>
      </c>
      <c r="G345" s="23"/>
      <c r="H345" s="24" t="s">
        <v>2968</v>
      </c>
      <c r="I345" s="21" t="s">
        <v>2969</v>
      </c>
      <c r="J345" s="24" t="s">
        <v>2984</v>
      </c>
      <c r="K345" s="21" t="s">
        <v>2985</v>
      </c>
      <c r="L345" s="25" t="s">
        <v>2986</v>
      </c>
      <c r="M345" s="26" t="s">
        <v>28</v>
      </c>
      <c r="N345" s="24" t="s">
        <v>2973</v>
      </c>
      <c r="O345" s="24" t="s">
        <v>2987</v>
      </c>
      <c r="P345" s="27"/>
      <c r="Q345" s="27"/>
      <c r="R345" s="28" t="s">
        <v>2988</v>
      </c>
      <c r="S345" s="8" t="s">
        <v>2989</v>
      </c>
      <c r="T345" s="29" t="s">
        <v>2969</v>
      </c>
      <c r="U345" s="24"/>
    </row>
    <row r="346" hidden="1">
      <c r="A346" s="30">
        <v>7.290112358011E12</v>
      </c>
      <c r="B346" s="20" t="s">
        <v>3007</v>
      </c>
      <c r="C346" s="21">
        <v>0.18</v>
      </c>
      <c r="D346" s="21">
        <v>0.205</v>
      </c>
      <c r="E346" s="21">
        <v>0.01</v>
      </c>
      <c r="F346" s="22">
        <v>30.0</v>
      </c>
      <c r="G346" s="23"/>
      <c r="H346" s="24" t="s">
        <v>3008</v>
      </c>
      <c r="I346" s="21" t="s">
        <v>3009</v>
      </c>
      <c r="J346" s="24" t="s">
        <v>3010</v>
      </c>
      <c r="K346" s="21" t="s">
        <v>3011</v>
      </c>
      <c r="L346" s="25" t="s">
        <v>3012</v>
      </c>
      <c r="M346" s="26" t="s">
        <v>28</v>
      </c>
      <c r="N346" s="24" t="s">
        <v>501</v>
      </c>
      <c r="O346" s="24" t="s">
        <v>3013</v>
      </c>
      <c r="P346" s="27"/>
      <c r="Q346" s="27"/>
      <c r="R346" s="31" t="s">
        <v>3014</v>
      </c>
      <c r="S346" s="8" t="s">
        <v>3015</v>
      </c>
      <c r="T346" s="29" t="s">
        <v>3016</v>
      </c>
      <c r="U346" s="24"/>
    </row>
    <row r="347" hidden="1">
      <c r="A347" s="30">
        <v>7.290011308858E12</v>
      </c>
      <c r="B347" s="20" t="s">
        <v>3121</v>
      </c>
      <c r="C347" s="21">
        <v>0.115</v>
      </c>
      <c r="D347" s="21">
        <v>0.16</v>
      </c>
      <c r="E347" s="21">
        <v>0.05</v>
      </c>
      <c r="F347" s="22">
        <v>6.0</v>
      </c>
      <c r="G347" s="23"/>
      <c r="H347" s="24" t="s">
        <v>3113</v>
      </c>
      <c r="I347" s="21" t="s">
        <v>3114</v>
      </c>
      <c r="J347" s="24" t="s">
        <v>3122</v>
      </c>
      <c r="K347" s="21" t="s">
        <v>3123</v>
      </c>
      <c r="L347" s="25" t="s">
        <v>3124</v>
      </c>
      <c r="M347" s="26" t="s">
        <v>28</v>
      </c>
      <c r="N347" s="24" t="s">
        <v>3118</v>
      </c>
      <c r="O347" s="24" t="s">
        <v>3119</v>
      </c>
      <c r="P347" s="27"/>
      <c r="Q347" s="27"/>
      <c r="R347" s="31" t="s">
        <v>3125</v>
      </c>
      <c r="S347" s="33" t="s">
        <v>3124</v>
      </c>
      <c r="T347" s="29" t="s">
        <v>3114</v>
      </c>
      <c r="U347" s="21" t="s">
        <v>113</v>
      </c>
    </row>
    <row r="348" hidden="1">
      <c r="A348" s="30">
        <v>7.290112497932E12</v>
      </c>
      <c r="B348" s="20" t="s">
        <v>3112</v>
      </c>
      <c r="C348" s="21">
        <v>0.115</v>
      </c>
      <c r="D348" s="21">
        <v>0.16</v>
      </c>
      <c r="E348" s="21">
        <v>0.06</v>
      </c>
      <c r="F348" s="22">
        <v>5.0</v>
      </c>
      <c r="G348" s="23"/>
      <c r="H348" s="24" t="s">
        <v>3113</v>
      </c>
      <c r="I348" s="21" t="s">
        <v>3114</v>
      </c>
      <c r="J348" s="24" t="s">
        <v>3115</v>
      </c>
      <c r="K348" s="21" t="s">
        <v>3116</v>
      </c>
      <c r="L348" s="25" t="s">
        <v>3117</v>
      </c>
      <c r="M348" s="26" t="s">
        <v>28</v>
      </c>
      <c r="N348" s="24" t="s">
        <v>3118</v>
      </c>
      <c r="O348" s="24" t="s">
        <v>3119</v>
      </c>
      <c r="P348" s="27"/>
      <c r="Q348" s="27"/>
      <c r="R348" s="31" t="s">
        <v>3120</v>
      </c>
      <c r="S348" s="33" t="s">
        <v>3117</v>
      </c>
      <c r="T348" s="29" t="s">
        <v>3114</v>
      </c>
      <c r="U348" s="21" t="s">
        <v>113</v>
      </c>
    </row>
    <row r="349" hidden="1">
      <c r="A349" s="30">
        <v>7.290006764478E12</v>
      </c>
      <c r="B349" s="20" t="s">
        <v>2990</v>
      </c>
      <c r="C349" s="21">
        <v>0.06</v>
      </c>
      <c r="D349" s="21">
        <v>0.225</v>
      </c>
      <c r="E349" s="21">
        <v>0.02</v>
      </c>
      <c r="F349" s="22">
        <v>15.0</v>
      </c>
      <c r="G349" s="23"/>
      <c r="H349" s="24" t="s">
        <v>2991</v>
      </c>
      <c r="I349" s="21" t="s">
        <v>2992</v>
      </c>
      <c r="J349" s="24" t="s">
        <v>2993</v>
      </c>
      <c r="K349" s="21" t="s">
        <v>2994</v>
      </c>
      <c r="L349" s="25" t="s">
        <v>2995</v>
      </c>
      <c r="M349" s="26" t="s">
        <v>37</v>
      </c>
      <c r="N349" s="24" t="s">
        <v>2996</v>
      </c>
      <c r="O349" s="24" t="s">
        <v>2997</v>
      </c>
      <c r="P349" s="27"/>
      <c r="Q349" s="27"/>
      <c r="R349" s="28" t="s">
        <v>2998</v>
      </c>
      <c r="S349" s="8" t="s">
        <v>2999</v>
      </c>
      <c r="T349" s="29" t="e">
        <v>#N/A</v>
      </c>
      <c r="U349" s="24"/>
    </row>
    <row r="350" hidden="1">
      <c r="A350" s="30">
        <v>7.290010237623E12</v>
      </c>
      <c r="B350" s="20" t="s">
        <v>3000</v>
      </c>
      <c r="C350" s="21">
        <v>0.093</v>
      </c>
      <c r="D350" s="21">
        <v>0.33</v>
      </c>
      <c r="E350" s="21">
        <v>0.093</v>
      </c>
      <c r="F350" s="22">
        <v>3.0</v>
      </c>
      <c r="G350" s="23"/>
      <c r="H350" s="24" t="s">
        <v>2991</v>
      </c>
      <c r="I350" s="21" t="s">
        <v>2992</v>
      </c>
      <c r="J350" s="24" t="s">
        <v>3001</v>
      </c>
      <c r="K350" s="21" t="s">
        <v>3002</v>
      </c>
      <c r="L350" s="25" t="s">
        <v>3003</v>
      </c>
      <c r="M350" s="26" t="s">
        <v>28</v>
      </c>
      <c r="N350" s="24" t="s">
        <v>2996</v>
      </c>
      <c r="O350" s="24" t="s">
        <v>3004</v>
      </c>
      <c r="P350" s="27"/>
      <c r="Q350" s="27"/>
      <c r="R350" s="28" t="s">
        <v>3005</v>
      </c>
      <c r="S350" s="8" t="s">
        <v>3006</v>
      </c>
      <c r="T350" s="29" t="s">
        <v>2992</v>
      </c>
      <c r="U350" s="24"/>
    </row>
    <row r="351" hidden="1">
      <c r="A351" s="30">
        <v>7.290008464505E12</v>
      </c>
      <c r="B351" s="20" t="s">
        <v>4040</v>
      </c>
      <c r="C351" s="21">
        <v>0.065</v>
      </c>
      <c r="D351" s="21">
        <v>0.21</v>
      </c>
      <c r="E351" s="21">
        <v>0.065</v>
      </c>
      <c r="F351" s="22">
        <v>5.0</v>
      </c>
      <c r="G351" s="23"/>
      <c r="H351" s="24" t="s">
        <v>4041</v>
      </c>
      <c r="I351" s="21" t="s">
        <v>4028</v>
      </c>
      <c r="J351" s="24" t="s">
        <v>4042</v>
      </c>
      <c r="K351" s="21" t="s">
        <v>4043</v>
      </c>
      <c r="L351" s="25" t="s">
        <v>4044</v>
      </c>
      <c r="M351" s="26" t="s">
        <v>37</v>
      </c>
      <c r="N351" s="24" t="s">
        <v>718</v>
      </c>
      <c r="O351" s="24" t="s">
        <v>719</v>
      </c>
      <c r="P351" s="27"/>
      <c r="Q351" s="27"/>
      <c r="R351" s="31" t="s">
        <v>4045</v>
      </c>
      <c r="S351" s="33" t="s">
        <v>4046</v>
      </c>
      <c r="T351" s="29" t="e">
        <v>#N/A</v>
      </c>
      <c r="U351" s="24"/>
    </row>
    <row r="352" hidden="1">
      <c r="A352" s="30">
        <v>8.850389104637E12</v>
      </c>
      <c r="B352" s="20" t="s">
        <v>4100</v>
      </c>
      <c r="C352" s="21">
        <v>0.053</v>
      </c>
      <c r="D352" s="21">
        <v>0.193</v>
      </c>
      <c r="E352" s="21">
        <v>0.053</v>
      </c>
      <c r="F352" s="22">
        <v>6.0</v>
      </c>
      <c r="G352" s="23"/>
      <c r="H352" s="24" t="s">
        <v>4057</v>
      </c>
      <c r="I352" s="21" t="s">
        <v>4058</v>
      </c>
      <c r="J352" s="24" t="s">
        <v>4101</v>
      </c>
      <c r="K352" s="21" t="s">
        <v>4102</v>
      </c>
      <c r="L352" s="25" t="s">
        <v>4103</v>
      </c>
      <c r="M352" s="26" t="s">
        <v>28</v>
      </c>
      <c r="N352" s="24" t="s">
        <v>3064</v>
      </c>
      <c r="O352" s="24" t="s">
        <v>3065</v>
      </c>
      <c r="P352" s="27"/>
      <c r="Q352" s="27"/>
      <c r="R352" s="28" t="s">
        <v>4104</v>
      </c>
      <c r="S352" s="8" t="s">
        <v>4105</v>
      </c>
      <c r="T352" s="29" t="s">
        <v>4058</v>
      </c>
      <c r="U352" s="24"/>
    </row>
    <row r="353" hidden="1">
      <c r="A353" s="30">
        <v>8.850389115312E12</v>
      </c>
      <c r="B353" s="20" t="s">
        <v>4056</v>
      </c>
      <c r="C353" s="21">
        <v>0.053</v>
      </c>
      <c r="D353" s="21">
        <v>0.193</v>
      </c>
      <c r="E353" s="21">
        <v>0.053</v>
      </c>
      <c r="F353" s="22">
        <v>6.0</v>
      </c>
      <c r="G353" s="23"/>
      <c r="H353" s="24" t="s">
        <v>4057</v>
      </c>
      <c r="I353" s="21" t="s">
        <v>4058</v>
      </c>
      <c r="J353" s="24" t="s">
        <v>4059</v>
      </c>
      <c r="K353" s="21" t="s">
        <v>4060</v>
      </c>
      <c r="L353" s="25" t="s">
        <v>4061</v>
      </c>
      <c r="M353" s="26" t="s">
        <v>28</v>
      </c>
      <c r="N353" s="24" t="s">
        <v>3064</v>
      </c>
      <c r="O353" s="24" t="s">
        <v>3065</v>
      </c>
      <c r="P353" s="27"/>
      <c r="Q353" s="27"/>
      <c r="R353" s="28" t="s">
        <v>4062</v>
      </c>
      <c r="S353" s="8" t="s">
        <v>4063</v>
      </c>
      <c r="T353" s="29" t="s">
        <v>4058</v>
      </c>
      <c r="U353" s="24"/>
    </row>
    <row r="354" hidden="1">
      <c r="A354" s="30">
        <v>8.850389103111E12</v>
      </c>
      <c r="B354" s="20" t="s">
        <v>4076</v>
      </c>
      <c r="C354" s="21">
        <v>0.053</v>
      </c>
      <c r="D354" s="21">
        <v>0.193</v>
      </c>
      <c r="E354" s="21">
        <v>0.053</v>
      </c>
      <c r="F354" s="22">
        <v>6.0</v>
      </c>
      <c r="G354" s="23"/>
      <c r="H354" s="24" t="s">
        <v>4057</v>
      </c>
      <c r="I354" s="21" t="s">
        <v>4058</v>
      </c>
      <c r="J354" s="24" t="s">
        <v>4077</v>
      </c>
      <c r="K354" s="21" t="s">
        <v>4078</v>
      </c>
      <c r="L354" s="25" t="s">
        <v>4079</v>
      </c>
      <c r="M354" s="26" t="s">
        <v>28</v>
      </c>
      <c r="N354" s="24" t="s">
        <v>3064</v>
      </c>
      <c r="O354" s="24" t="s">
        <v>3065</v>
      </c>
      <c r="P354" s="27"/>
      <c r="Q354" s="27"/>
      <c r="R354" s="28" t="s">
        <v>4080</v>
      </c>
      <c r="S354" s="8" t="s">
        <v>4081</v>
      </c>
      <c r="T354" s="29" t="s">
        <v>4058</v>
      </c>
      <c r="U354" s="24"/>
    </row>
    <row r="355" hidden="1">
      <c r="A355" s="30">
        <v>8.850389103128E12</v>
      </c>
      <c r="B355" s="20" t="s">
        <v>4082</v>
      </c>
      <c r="C355" s="21">
        <v>0.053</v>
      </c>
      <c r="D355" s="21">
        <v>0.193</v>
      </c>
      <c r="E355" s="21">
        <v>0.053</v>
      </c>
      <c r="F355" s="22">
        <v>6.0</v>
      </c>
      <c r="G355" s="23"/>
      <c r="H355" s="24" t="s">
        <v>4057</v>
      </c>
      <c r="I355" s="21" t="s">
        <v>4058</v>
      </c>
      <c r="J355" s="24" t="s">
        <v>4083</v>
      </c>
      <c r="K355" s="21" t="s">
        <v>4084</v>
      </c>
      <c r="L355" s="25" t="s">
        <v>4085</v>
      </c>
      <c r="M355" s="26" t="s">
        <v>28</v>
      </c>
      <c r="N355" s="24" t="s">
        <v>3064</v>
      </c>
      <c r="O355" s="24" t="s">
        <v>3065</v>
      </c>
      <c r="P355" s="27"/>
      <c r="Q355" s="27"/>
      <c r="R355" s="28" t="s">
        <v>4086</v>
      </c>
      <c r="S355" s="8" t="s">
        <v>4087</v>
      </c>
      <c r="T355" s="29" t="s">
        <v>4058</v>
      </c>
      <c r="U355" s="24"/>
    </row>
    <row r="356" hidden="1">
      <c r="A356" s="30">
        <v>8.850389105849E12</v>
      </c>
      <c r="B356" s="20" t="s">
        <v>4088</v>
      </c>
      <c r="C356" s="21">
        <v>0.08</v>
      </c>
      <c r="D356" s="21">
        <v>0.295</v>
      </c>
      <c r="E356" s="21">
        <v>0.08</v>
      </c>
      <c r="F356" s="22">
        <v>4.0</v>
      </c>
      <c r="G356" s="23"/>
      <c r="H356" s="24" t="s">
        <v>4057</v>
      </c>
      <c r="I356" s="21" t="s">
        <v>4058</v>
      </c>
      <c r="J356" s="24" t="s">
        <v>4089</v>
      </c>
      <c r="K356" s="21" t="s">
        <v>4090</v>
      </c>
      <c r="L356" s="25" t="s">
        <v>4091</v>
      </c>
      <c r="M356" s="26" t="s">
        <v>28</v>
      </c>
      <c r="N356" s="24" t="s">
        <v>3064</v>
      </c>
      <c r="O356" s="24" t="s">
        <v>3078</v>
      </c>
      <c r="P356" s="27"/>
      <c r="Q356" s="27"/>
      <c r="R356" s="31" t="s">
        <v>4092</v>
      </c>
      <c r="S356" s="8" t="s">
        <v>4093</v>
      </c>
      <c r="T356" s="29" t="s">
        <v>4058</v>
      </c>
      <c r="U356" s="24"/>
    </row>
    <row r="357" hidden="1">
      <c r="A357" s="30">
        <v>8.850389105832E12</v>
      </c>
      <c r="B357" s="20" t="s">
        <v>4070</v>
      </c>
      <c r="C357" s="21">
        <v>0.08</v>
      </c>
      <c r="D357" s="21">
        <v>0.295</v>
      </c>
      <c r="E357" s="21">
        <v>0.08</v>
      </c>
      <c r="F357" s="22">
        <v>4.0</v>
      </c>
      <c r="G357" s="23"/>
      <c r="H357" s="24" t="s">
        <v>4057</v>
      </c>
      <c r="I357" s="21" t="s">
        <v>4058</v>
      </c>
      <c r="J357" s="24" t="s">
        <v>4071</v>
      </c>
      <c r="K357" s="21" t="s">
        <v>4072</v>
      </c>
      <c r="L357" s="25" t="s">
        <v>4073</v>
      </c>
      <c r="M357" s="26" t="s">
        <v>28</v>
      </c>
      <c r="N357" s="24" t="s">
        <v>3064</v>
      </c>
      <c r="O357" s="24" t="s">
        <v>3078</v>
      </c>
      <c r="P357" s="27"/>
      <c r="Q357" s="27"/>
      <c r="R357" s="31" t="s">
        <v>4074</v>
      </c>
      <c r="S357" s="8" t="s">
        <v>4075</v>
      </c>
      <c r="T357" s="29" t="s">
        <v>4058</v>
      </c>
      <c r="U357" s="24"/>
    </row>
    <row r="358" hidden="1">
      <c r="A358" s="30">
        <v>8.850389115336E12</v>
      </c>
      <c r="B358" s="20" t="s">
        <v>4064</v>
      </c>
      <c r="C358" s="21">
        <v>0.08</v>
      </c>
      <c r="D358" s="21">
        <v>0.295</v>
      </c>
      <c r="E358" s="21">
        <v>0.08</v>
      </c>
      <c r="F358" s="22">
        <v>4.0</v>
      </c>
      <c r="G358" s="23"/>
      <c r="H358" s="24" t="s">
        <v>4057</v>
      </c>
      <c r="I358" s="21" t="s">
        <v>4058</v>
      </c>
      <c r="J358" s="24" t="s">
        <v>4065</v>
      </c>
      <c r="K358" s="21" t="s">
        <v>4066</v>
      </c>
      <c r="L358" s="25" t="s">
        <v>4067</v>
      </c>
      <c r="M358" s="26" t="s">
        <v>28</v>
      </c>
      <c r="N358" s="24" t="s">
        <v>3064</v>
      </c>
      <c r="O358" s="24" t="s">
        <v>3078</v>
      </c>
      <c r="P358" s="27"/>
      <c r="Q358" s="27"/>
      <c r="R358" s="28" t="s">
        <v>4068</v>
      </c>
      <c r="S358" s="33" t="s">
        <v>4069</v>
      </c>
      <c r="T358" s="29" t="s">
        <v>4058</v>
      </c>
      <c r="U358" s="24"/>
    </row>
    <row r="359" hidden="1">
      <c r="A359" s="30">
        <v>8.850389105825E12</v>
      </c>
      <c r="B359" s="20" t="s">
        <v>4094</v>
      </c>
      <c r="C359" s="21">
        <v>0.08</v>
      </c>
      <c r="D359" s="21">
        <v>0.295</v>
      </c>
      <c r="E359" s="21">
        <v>0.08</v>
      </c>
      <c r="F359" s="22">
        <v>4.0</v>
      </c>
      <c r="G359" s="23"/>
      <c r="H359" s="24" t="s">
        <v>4057</v>
      </c>
      <c r="I359" s="21" t="s">
        <v>4058</v>
      </c>
      <c r="J359" s="24" t="s">
        <v>4095</v>
      </c>
      <c r="K359" s="21" t="s">
        <v>4096</v>
      </c>
      <c r="L359" s="25" t="s">
        <v>4097</v>
      </c>
      <c r="M359" s="26" t="s">
        <v>28</v>
      </c>
      <c r="N359" s="24" t="s">
        <v>3064</v>
      </c>
      <c r="O359" s="24" t="s">
        <v>3078</v>
      </c>
      <c r="P359" s="27"/>
      <c r="Q359" s="27"/>
      <c r="R359" s="28" t="s">
        <v>4098</v>
      </c>
      <c r="S359" s="8" t="s">
        <v>4099</v>
      </c>
      <c r="T359" s="29" t="s">
        <v>4058</v>
      </c>
      <c r="U359" s="24"/>
    </row>
    <row r="360">
      <c r="A360" s="30">
        <v>7.29001011797E12</v>
      </c>
      <c r="B360" s="20" t="s">
        <v>4012</v>
      </c>
      <c r="C360" s="21">
        <v>0.06</v>
      </c>
      <c r="D360" s="21">
        <v>0.075</v>
      </c>
      <c r="E360" s="21">
        <v>0.24</v>
      </c>
      <c r="F360" s="22">
        <v>1.0</v>
      </c>
      <c r="G360" s="23"/>
      <c r="H360" s="24" t="s">
        <v>4013</v>
      </c>
      <c r="I360" s="21" t="s">
        <v>4014</v>
      </c>
      <c r="J360" s="24" t="s">
        <v>4015</v>
      </c>
      <c r="K360" s="21" t="s">
        <v>4016</v>
      </c>
      <c r="L360" s="25" t="s">
        <v>4017</v>
      </c>
      <c r="M360" s="26" t="s">
        <v>28</v>
      </c>
      <c r="N360" s="24" t="s">
        <v>1794</v>
      </c>
      <c r="O360" s="24" t="s">
        <v>1854</v>
      </c>
      <c r="P360" s="27"/>
      <c r="Q360" s="27"/>
      <c r="R360" s="31" t="s">
        <v>4018</v>
      </c>
      <c r="S360" s="33" t="s">
        <v>4019</v>
      </c>
      <c r="T360" s="29" t="s">
        <v>4014</v>
      </c>
      <c r="U360" s="21" t="s">
        <v>1798</v>
      </c>
    </row>
    <row r="361">
      <c r="A361" s="30">
        <v>7.290106653504E12</v>
      </c>
      <c r="B361" s="20" t="s">
        <v>4020</v>
      </c>
      <c r="C361" s="21">
        <v>0.06</v>
      </c>
      <c r="D361" s="21">
        <v>0.075</v>
      </c>
      <c r="E361" s="21">
        <v>0.24</v>
      </c>
      <c r="F361" s="22">
        <v>1.0</v>
      </c>
      <c r="G361" s="23"/>
      <c r="H361" s="24" t="s">
        <v>4013</v>
      </c>
      <c r="I361" s="21" t="s">
        <v>4014</v>
      </c>
      <c r="J361" s="24" t="s">
        <v>4021</v>
      </c>
      <c r="K361" s="21" t="s">
        <v>4022</v>
      </c>
      <c r="L361" s="25" t="s">
        <v>4023</v>
      </c>
      <c r="M361" s="26" t="s">
        <v>28</v>
      </c>
      <c r="N361" s="24" t="s">
        <v>1794</v>
      </c>
      <c r="O361" s="24" t="s">
        <v>1854</v>
      </c>
      <c r="P361" s="27"/>
      <c r="Q361" s="27"/>
      <c r="R361" s="31" t="s">
        <v>4024</v>
      </c>
      <c r="S361" s="33" t="s">
        <v>4025</v>
      </c>
      <c r="T361" s="29" t="s">
        <v>4014</v>
      </c>
      <c r="U361" s="21" t="s">
        <v>1798</v>
      </c>
    </row>
    <row r="362" hidden="1">
      <c r="A362" s="30">
        <v>7.290010237579E12</v>
      </c>
      <c r="B362" s="20" t="s">
        <v>4266</v>
      </c>
      <c r="C362" s="21">
        <v>0.065</v>
      </c>
      <c r="D362" s="21">
        <v>0.24</v>
      </c>
      <c r="E362" s="21">
        <v>0.065</v>
      </c>
      <c r="F362" s="22">
        <v>5.0</v>
      </c>
      <c r="G362" s="23"/>
      <c r="H362" s="24" t="s">
        <v>4256</v>
      </c>
      <c r="I362" s="21" t="s">
        <v>4257</v>
      </c>
      <c r="J362" s="24" t="s">
        <v>4267</v>
      </c>
      <c r="K362" s="21" t="s">
        <v>4268</v>
      </c>
      <c r="L362" s="25" t="s">
        <v>4269</v>
      </c>
      <c r="M362" s="26" t="s">
        <v>28</v>
      </c>
      <c r="N362" s="24" t="s">
        <v>4261</v>
      </c>
      <c r="O362" s="24" t="s">
        <v>4270</v>
      </c>
      <c r="P362" s="27"/>
      <c r="Q362" s="27"/>
      <c r="R362" s="28" t="s">
        <v>4271</v>
      </c>
      <c r="S362" s="8" t="s">
        <v>4272</v>
      </c>
      <c r="T362" s="29" t="s">
        <v>4265</v>
      </c>
      <c r="U362" s="24"/>
    </row>
    <row r="363" hidden="1">
      <c r="A363" s="30">
        <v>433714.0</v>
      </c>
      <c r="B363" s="20" t="s">
        <v>4255</v>
      </c>
      <c r="C363" s="21">
        <v>0.08</v>
      </c>
      <c r="D363" s="21">
        <v>0.33</v>
      </c>
      <c r="E363" s="21">
        <v>0.08</v>
      </c>
      <c r="F363" s="22">
        <v>4.0</v>
      </c>
      <c r="G363" s="23"/>
      <c r="H363" s="24" t="s">
        <v>4256</v>
      </c>
      <c r="I363" s="21" t="s">
        <v>4257</v>
      </c>
      <c r="J363" s="24" t="s">
        <v>4258</v>
      </c>
      <c r="K363" s="21" t="s">
        <v>4259</v>
      </c>
      <c r="L363" s="25" t="s">
        <v>4260</v>
      </c>
      <c r="M363" s="26" t="s">
        <v>28</v>
      </c>
      <c r="N363" s="24" t="s">
        <v>4261</v>
      </c>
      <c r="O363" s="24" t="s">
        <v>4262</v>
      </c>
      <c r="P363" s="27"/>
      <c r="Q363" s="27"/>
      <c r="R363" s="28" t="s">
        <v>4263</v>
      </c>
      <c r="S363" s="8" t="s">
        <v>4264</v>
      </c>
      <c r="T363" s="29" t="s">
        <v>4265</v>
      </c>
      <c r="U363" s="24"/>
    </row>
    <row r="364" hidden="1">
      <c r="A364" s="30">
        <v>7.290003643387E12</v>
      </c>
      <c r="B364" s="20" t="s">
        <v>5205</v>
      </c>
      <c r="C364" s="21">
        <v>0.09999999</v>
      </c>
      <c r="D364" s="21">
        <v>0.16</v>
      </c>
      <c r="E364" s="21">
        <v>0.057</v>
      </c>
      <c r="F364" s="22">
        <v>5.0</v>
      </c>
      <c r="G364" s="23"/>
      <c r="H364" s="24" t="s">
        <v>4526</v>
      </c>
      <c r="I364" s="21" t="s">
        <v>5206</v>
      </c>
      <c r="J364" s="24" t="s">
        <v>4528</v>
      </c>
      <c r="K364" s="21" t="s">
        <v>4529</v>
      </c>
      <c r="L364" s="25" t="s">
        <v>4530</v>
      </c>
      <c r="M364" s="26" t="s">
        <v>37</v>
      </c>
      <c r="N364" s="24" t="s">
        <v>4531</v>
      </c>
      <c r="O364" s="24" t="s">
        <v>4531</v>
      </c>
      <c r="P364" s="27"/>
      <c r="Q364" s="27"/>
      <c r="R364" s="28" t="s">
        <v>4532</v>
      </c>
      <c r="S364" s="8" t="s">
        <v>4533</v>
      </c>
      <c r="T364" s="29" t="e">
        <v>#N/A</v>
      </c>
      <c r="U364" s="24"/>
    </row>
    <row r="365" hidden="1">
      <c r="A365" s="30">
        <v>7.5001629E12</v>
      </c>
      <c r="B365" s="20" t="s">
        <v>4380</v>
      </c>
      <c r="C365" s="21">
        <v>0.06</v>
      </c>
      <c r="D365" s="21">
        <v>0.235</v>
      </c>
      <c r="E365" s="21">
        <v>0.12</v>
      </c>
      <c r="F365" s="22">
        <v>3.0</v>
      </c>
      <c r="G365" s="23"/>
      <c r="H365" s="24" t="s">
        <v>4381</v>
      </c>
      <c r="I365" s="21" t="s">
        <v>4382</v>
      </c>
      <c r="J365" s="24" t="s">
        <v>4383</v>
      </c>
      <c r="K365" s="21" t="s">
        <v>4384</v>
      </c>
      <c r="L365" s="25" t="s">
        <v>4385</v>
      </c>
      <c r="M365" s="26" t="s">
        <v>28</v>
      </c>
      <c r="N365" s="24" t="s">
        <v>365</v>
      </c>
      <c r="O365" s="24" t="s">
        <v>536</v>
      </c>
      <c r="P365" s="27"/>
      <c r="Q365" s="27"/>
      <c r="R365" s="28" t="s">
        <v>4386</v>
      </c>
      <c r="S365" s="8" t="s">
        <v>4387</v>
      </c>
      <c r="T365" s="29" t="s">
        <v>4382</v>
      </c>
      <c r="U365" s="24"/>
    </row>
    <row r="366" hidden="1">
      <c r="A366" s="30">
        <v>7.290011018474E12</v>
      </c>
      <c r="B366" s="20" t="s">
        <v>4388</v>
      </c>
      <c r="C366" s="21">
        <v>0.055</v>
      </c>
      <c r="D366" s="21">
        <v>0.239</v>
      </c>
      <c r="E366" s="21">
        <v>0.055</v>
      </c>
      <c r="F366" s="22">
        <v>5.0</v>
      </c>
      <c r="G366" s="23"/>
      <c r="H366" s="24" t="s">
        <v>4389</v>
      </c>
      <c r="I366" s="21" t="s">
        <v>4390</v>
      </c>
      <c r="J366" s="24" t="s">
        <v>4391</v>
      </c>
      <c r="K366" s="21" t="s">
        <v>4392</v>
      </c>
      <c r="L366" s="25" t="s">
        <v>4393</v>
      </c>
      <c r="M366" s="26" t="s">
        <v>28</v>
      </c>
      <c r="N366" s="24" t="s">
        <v>512</v>
      </c>
      <c r="O366" s="24" t="s">
        <v>513</v>
      </c>
      <c r="P366" s="27"/>
      <c r="Q366" s="27"/>
      <c r="R366" s="31" t="s">
        <v>4394</v>
      </c>
      <c r="S366" s="8" t="s">
        <v>4395</v>
      </c>
      <c r="T366" s="29" t="s">
        <v>4396</v>
      </c>
      <c r="U366" s="24"/>
    </row>
    <row r="367" hidden="1">
      <c r="A367" s="30">
        <v>2.8400055109E10</v>
      </c>
      <c r="B367" s="20" t="s">
        <v>4492</v>
      </c>
      <c r="C367" s="21">
        <v>0.09</v>
      </c>
      <c r="D367" s="21">
        <v>0.23</v>
      </c>
      <c r="E367" s="21">
        <v>0.08</v>
      </c>
      <c r="F367" s="22">
        <v>4.0</v>
      </c>
      <c r="G367" s="23"/>
      <c r="H367" s="24" t="s">
        <v>4486</v>
      </c>
      <c r="I367" s="21" t="s">
        <v>4487</v>
      </c>
      <c r="J367" s="24" t="s">
        <v>4493</v>
      </c>
      <c r="K367" s="21" t="s">
        <v>5207</v>
      </c>
      <c r="L367" s="25" t="s">
        <v>4495</v>
      </c>
      <c r="M367" s="26" t="s">
        <v>28</v>
      </c>
      <c r="N367" s="24" t="s">
        <v>109</v>
      </c>
      <c r="O367" s="24" t="s">
        <v>3867</v>
      </c>
      <c r="P367" s="27"/>
      <c r="Q367" s="27"/>
      <c r="R367" s="28" t="s">
        <v>4496</v>
      </c>
      <c r="S367" s="8" t="s">
        <v>4495</v>
      </c>
      <c r="T367" s="29" t="s">
        <v>4487</v>
      </c>
      <c r="U367" s="21" t="s">
        <v>113</v>
      </c>
    </row>
    <row r="368" hidden="1">
      <c r="A368" s="30">
        <v>2.8400055093E10</v>
      </c>
      <c r="B368" s="20" t="s">
        <v>4485</v>
      </c>
      <c r="C368" s="21">
        <v>0.09</v>
      </c>
      <c r="D368" s="21">
        <v>0.23</v>
      </c>
      <c r="E368" s="21">
        <v>0.08</v>
      </c>
      <c r="F368" s="22">
        <v>4.0</v>
      </c>
      <c r="G368" s="23"/>
      <c r="H368" s="24" t="s">
        <v>4486</v>
      </c>
      <c r="I368" s="21" t="s">
        <v>4487</v>
      </c>
      <c r="J368" s="24" t="s">
        <v>4488</v>
      </c>
      <c r="K368" s="21" t="s">
        <v>5208</v>
      </c>
      <c r="L368" s="25" t="s">
        <v>4490</v>
      </c>
      <c r="M368" s="26" t="s">
        <v>28</v>
      </c>
      <c r="N368" s="24" t="s">
        <v>109</v>
      </c>
      <c r="O368" s="24" t="s">
        <v>3867</v>
      </c>
      <c r="P368" s="27"/>
      <c r="Q368" s="27"/>
      <c r="R368" s="28" t="s">
        <v>4491</v>
      </c>
      <c r="S368" s="8" t="s">
        <v>4490</v>
      </c>
      <c r="T368" s="29" t="s">
        <v>4487</v>
      </c>
      <c r="U368" s="21" t="s">
        <v>113</v>
      </c>
    </row>
    <row r="369" hidden="1">
      <c r="A369" s="30">
        <v>2.8400055154E10</v>
      </c>
      <c r="B369" s="20" t="s">
        <v>4497</v>
      </c>
      <c r="C369" s="21">
        <v>0.09</v>
      </c>
      <c r="D369" s="21">
        <v>0.23</v>
      </c>
      <c r="E369" s="21">
        <v>0.08</v>
      </c>
      <c r="F369" s="22">
        <v>4.0</v>
      </c>
      <c r="G369" s="23"/>
      <c r="H369" s="24" t="s">
        <v>4486</v>
      </c>
      <c r="I369" s="21" t="s">
        <v>4487</v>
      </c>
      <c r="J369" s="24" t="s">
        <v>4498</v>
      </c>
      <c r="K369" s="21" t="s">
        <v>5209</v>
      </c>
      <c r="L369" s="25" t="s">
        <v>4500</v>
      </c>
      <c r="M369" s="26" t="s">
        <v>28</v>
      </c>
      <c r="N369" s="24" t="s">
        <v>109</v>
      </c>
      <c r="O369" s="24" t="s">
        <v>3867</v>
      </c>
      <c r="P369" s="27"/>
      <c r="Q369" s="27"/>
      <c r="R369" s="28" t="s">
        <v>4501</v>
      </c>
      <c r="S369" s="8" t="s">
        <v>4500</v>
      </c>
      <c r="T369" s="29" t="s">
        <v>4487</v>
      </c>
      <c r="U369" s="21" t="s">
        <v>113</v>
      </c>
    </row>
    <row r="370" hidden="1">
      <c r="A370" s="30">
        <v>7.290002542773E12</v>
      </c>
      <c r="B370" s="20" t="s">
        <v>4502</v>
      </c>
      <c r="C370" s="21">
        <v>0.06</v>
      </c>
      <c r="D370" s="21">
        <v>0.23</v>
      </c>
      <c r="E370" s="21">
        <v>0.06</v>
      </c>
      <c r="F370" s="22">
        <v>5.0</v>
      </c>
      <c r="G370" s="23"/>
      <c r="H370" s="24" t="s">
        <v>4503</v>
      </c>
      <c r="I370" s="21" t="s">
        <v>4504</v>
      </c>
      <c r="J370" s="24" t="s">
        <v>4505</v>
      </c>
      <c r="K370" s="21" t="s">
        <v>4506</v>
      </c>
      <c r="L370" s="25" t="s">
        <v>4507</v>
      </c>
      <c r="M370" s="26" t="s">
        <v>37</v>
      </c>
      <c r="N370" s="24" t="s">
        <v>365</v>
      </c>
      <c r="O370" s="24" t="s">
        <v>536</v>
      </c>
      <c r="P370" s="27"/>
      <c r="Q370" s="27"/>
      <c r="R370" s="28" t="s">
        <v>4508</v>
      </c>
      <c r="S370" s="8" t="s">
        <v>4509</v>
      </c>
      <c r="T370" s="29" t="e">
        <v>#N/A</v>
      </c>
      <c r="U370" s="24"/>
    </row>
    <row r="371" hidden="1">
      <c r="A371" s="30">
        <v>5.410228217732E12</v>
      </c>
      <c r="B371" s="20" t="s">
        <v>4510</v>
      </c>
      <c r="C371" s="21">
        <v>0.065</v>
      </c>
      <c r="D371" s="21">
        <v>0.15</v>
      </c>
      <c r="E371" s="21">
        <v>0.065</v>
      </c>
      <c r="F371" s="22">
        <v>5.0</v>
      </c>
      <c r="G371" s="23"/>
      <c r="H371" s="24" t="s">
        <v>4503</v>
      </c>
      <c r="I371" s="21" t="s">
        <v>4504</v>
      </c>
      <c r="J371" s="24" t="s">
        <v>4511</v>
      </c>
      <c r="K371" s="21" t="s">
        <v>4512</v>
      </c>
      <c r="L371" s="25" t="s">
        <v>4513</v>
      </c>
      <c r="M371" s="26" t="s">
        <v>28</v>
      </c>
      <c r="N371" s="24" t="s">
        <v>365</v>
      </c>
      <c r="O371" s="24" t="s">
        <v>543</v>
      </c>
      <c r="P371" s="27"/>
      <c r="Q371" s="27"/>
      <c r="R371" s="31" t="s">
        <v>4514</v>
      </c>
      <c r="S371" s="33" t="s">
        <v>4515</v>
      </c>
      <c r="T371" s="29" t="s">
        <v>546</v>
      </c>
      <c r="U371" s="24"/>
    </row>
    <row r="372" hidden="1">
      <c r="A372" s="30">
        <v>5.035766044673E12</v>
      </c>
      <c r="B372" s="20" t="s">
        <v>4516</v>
      </c>
      <c r="C372" s="21">
        <v>0.055</v>
      </c>
      <c r="D372" s="21">
        <v>0.239</v>
      </c>
      <c r="E372" s="21">
        <v>0.055</v>
      </c>
      <c r="F372" s="22">
        <v>5.0</v>
      </c>
      <c r="G372" s="23"/>
      <c r="H372" s="24" t="s">
        <v>4517</v>
      </c>
      <c r="I372" s="21" t="s">
        <v>4518</v>
      </c>
      <c r="J372" s="24" t="s">
        <v>4519</v>
      </c>
      <c r="K372" s="21" t="s">
        <v>4520</v>
      </c>
      <c r="L372" s="25" t="s">
        <v>4521</v>
      </c>
      <c r="M372" s="26" t="s">
        <v>28</v>
      </c>
      <c r="N372" s="24" t="s">
        <v>512</v>
      </c>
      <c r="O372" s="24" t="s">
        <v>513</v>
      </c>
      <c r="P372" s="27"/>
      <c r="Q372" s="27"/>
      <c r="R372" s="31" t="s">
        <v>4522</v>
      </c>
      <c r="S372" s="8" t="s">
        <v>4523</v>
      </c>
      <c r="T372" s="29" t="s">
        <v>4524</v>
      </c>
      <c r="U372" s="24"/>
    </row>
    <row r="373" hidden="1">
      <c r="A373" s="30">
        <v>7.290000336282E12</v>
      </c>
      <c r="B373" s="20" t="s">
        <v>712</v>
      </c>
      <c r="C373" s="21">
        <v>0.06</v>
      </c>
      <c r="D373" s="21">
        <v>0.225</v>
      </c>
      <c r="E373" s="21">
        <v>0.06</v>
      </c>
      <c r="F373" s="22">
        <v>5.0</v>
      </c>
      <c r="G373" s="23"/>
      <c r="H373" s="24" t="s">
        <v>713</v>
      </c>
      <c r="I373" s="21" t="s">
        <v>714</v>
      </c>
      <c r="J373" s="24" t="s">
        <v>715</v>
      </c>
      <c r="K373" s="21" t="s">
        <v>716</v>
      </c>
      <c r="L373" s="25" t="s">
        <v>717</v>
      </c>
      <c r="M373" s="26" t="s">
        <v>37</v>
      </c>
      <c r="N373" s="24" t="s">
        <v>718</v>
      </c>
      <c r="O373" s="24" t="s">
        <v>719</v>
      </c>
      <c r="P373" s="27"/>
      <c r="Q373" s="27"/>
      <c r="R373" s="31" t="s">
        <v>720</v>
      </c>
      <c r="S373" s="33" t="s">
        <v>721</v>
      </c>
      <c r="T373" s="29" t="e">
        <v>#N/A</v>
      </c>
      <c r="U373" s="24"/>
    </row>
    <row r="374" hidden="1">
      <c r="A374" s="30">
        <v>5839108.0</v>
      </c>
      <c r="B374" s="20" t="s">
        <v>4545</v>
      </c>
      <c r="C374" s="21">
        <v>0.122</v>
      </c>
      <c r="D374" s="21">
        <v>0.06</v>
      </c>
      <c r="E374" s="21">
        <v>0.08</v>
      </c>
      <c r="F374" s="22">
        <v>4.0</v>
      </c>
      <c r="G374" s="23"/>
      <c r="H374" s="24" t="s">
        <v>4535</v>
      </c>
      <c r="I374" s="21" t="s">
        <v>4536</v>
      </c>
      <c r="J374" s="24" t="s">
        <v>4546</v>
      </c>
      <c r="K374" s="21" t="s">
        <v>4547</v>
      </c>
      <c r="L374" s="25" t="s">
        <v>4548</v>
      </c>
      <c r="M374" s="26" t="s">
        <v>28</v>
      </c>
      <c r="N374" s="24" t="s">
        <v>4540</v>
      </c>
      <c r="O374" s="24" t="s">
        <v>4549</v>
      </c>
      <c r="P374" s="27"/>
      <c r="Q374" s="27"/>
      <c r="R374" s="28" t="s">
        <v>4550</v>
      </c>
      <c r="S374" s="8" t="s">
        <v>4551</v>
      </c>
      <c r="T374" s="29" t="s">
        <v>4544</v>
      </c>
      <c r="U374" s="24"/>
    </row>
    <row r="375" hidden="1">
      <c r="A375" s="30">
        <v>4584351.0</v>
      </c>
      <c r="B375" s="20" t="s">
        <v>4534</v>
      </c>
      <c r="C375" s="21">
        <v>0.122</v>
      </c>
      <c r="D375" s="21">
        <v>0.06</v>
      </c>
      <c r="E375" s="21">
        <v>0.08</v>
      </c>
      <c r="F375" s="22">
        <v>4.0</v>
      </c>
      <c r="G375" s="23"/>
      <c r="H375" s="24" t="s">
        <v>4535</v>
      </c>
      <c r="I375" s="21" t="s">
        <v>4536</v>
      </c>
      <c r="J375" s="24" t="s">
        <v>4537</v>
      </c>
      <c r="K375" s="21" t="s">
        <v>4538</v>
      </c>
      <c r="L375" s="25" t="s">
        <v>4539</v>
      </c>
      <c r="M375" s="26" t="s">
        <v>28</v>
      </c>
      <c r="N375" s="24" t="s">
        <v>4540</v>
      </c>
      <c r="O375" s="24" t="s">
        <v>4541</v>
      </c>
      <c r="P375" s="27"/>
      <c r="Q375" s="27"/>
      <c r="R375" s="28" t="s">
        <v>4542</v>
      </c>
      <c r="S375" s="8" t="s">
        <v>4543</v>
      </c>
      <c r="T375" s="29" t="s">
        <v>4544</v>
      </c>
      <c r="U375" s="24"/>
    </row>
    <row r="376" hidden="1">
      <c r="A376" s="30">
        <v>5.410316983693E12</v>
      </c>
      <c r="B376" s="20" t="s">
        <v>4311</v>
      </c>
      <c r="C376" s="21">
        <v>0.058</v>
      </c>
      <c r="D376" s="21">
        <v>0.212</v>
      </c>
      <c r="E376" s="21">
        <v>0.058</v>
      </c>
      <c r="F376" s="22">
        <v>5.0</v>
      </c>
      <c r="G376" s="23"/>
      <c r="H376" s="24" t="s">
        <v>4312</v>
      </c>
      <c r="I376" s="21" t="s">
        <v>4313</v>
      </c>
      <c r="J376" s="24" t="s">
        <v>4314</v>
      </c>
      <c r="K376" s="21" t="s">
        <v>4315</v>
      </c>
      <c r="L376" s="25" t="s">
        <v>4316</v>
      </c>
      <c r="M376" s="26" t="s">
        <v>28</v>
      </c>
      <c r="N376" s="24" t="s">
        <v>512</v>
      </c>
      <c r="O376" s="24" t="s">
        <v>513</v>
      </c>
      <c r="P376" s="27"/>
      <c r="Q376" s="27"/>
      <c r="R376" s="31" t="s">
        <v>4317</v>
      </c>
      <c r="S376" s="8" t="s">
        <v>4318</v>
      </c>
      <c r="T376" s="29" t="s">
        <v>4319</v>
      </c>
      <c r="U376" s="24"/>
    </row>
    <row r="377" hidden="1">
      <c r="A377" s="30">
        <v>8.001620015612E12</v>
      </c>
      <c r="B377" s="20" t="s">
        <v>4034</v>
      </c>
      <c r="C377" s="21">
        <v>0.055</v>
      </c>
      <c r="D377" s="21">
        <v>0.205</v>
      </c>
      <c r="E377" s="21">
        <v>0.055</v>
      </c>
      <c r="F377" s="22">
        <v>5.0</v>
      </c>
      <c r="G377" s="23"/>
      <c r="H377" s="24" t="s">
        <v>4027</v>
      </c>
      <c r="I377" s="21" t="s">
        <v>4028</v>
      </c>
      <c r="J377" s="24" t="s">
        <v>4035</v>
      </c>
      <c r="K377" s="21" t="s">
        <v>4036</v>
      </c>
      <c r="L377" s="25" t="s">
        <v>4037</v>
      </c>
      <c r="M377" s="26" t="s">
        <v>37</v>
      </c>
      <c r="N377" s="24" t="s">
        <v>1555</v>
      </c>
      <c r="O377" s="24" t="s">
        <v>1556</v>
      </c>
      <c r="P377" s="27"/>
      <c r="Q377" s="27"/>
      <c r="R377" s="28" t="s">
        <v>4038</v>
      </c>
      <c r="S377" s="8" t="s">
        <v>4039</v>
      </c>
      <c r="T377" s="29" t="e">
        <v>#N/A</v>
      </c>
      <c r="U377" s="24"/>
    </row>
    <row r="378" hidden="1">
      <c r="A378" s="30">
        <v>8.001620015636E12</v>
      </c>
      <c r="B378" s="20" t="s">
        <v>4026</v>
      </c>
      <c r="C378" s="21">
        <v>0.055</v>
      </c>
      <c r="D378" s="21">
        <v>0.205</v>
      </c>
      <c r="E378" s="21">
        <v>0.055</v>
      </c>
      <c r="F378" s="22">
        <v>5.0</v>
      </c>
      <c r="G378" s="23"/>
      <c r="H378" s="24" t="s">
        <v>4027</v>
      </c>
      <c r="I378" s="21" t="s">
        <v>4028</v>
      </c>
      <c r="J378" s="24" t="s">
        <v>4029</v>
      </c>
      <c r="K378" s="21" t="s">
        <v>4030</v>
      </c>
      <c r="L378" s="25" t="s">
        <v>4031</v>
      </c>
      <c r="M378" s="26" t="s">
        <v>37</v>
      </c>
      <c r="N378" s="24" t="s">
        <v>1555</v>
      </c>
      <c r="O378" s="24" t="s">
        <v>1556</v>
      </c>
      <c r="P378" s="27"/>
      <c r="Q378" s="27"/>
      <c r="R378" s="28" t="s">
        <v>4032</v>
      </c>
      <c r="S378" s="8" t="s">
        <v>4033</v>
      </c>
      <c r="T378" s="29" t="e">
        <v>#N/A</v>
      </c>
      <c r="U378" s="24"/>
    </row>
    <row r="379" hidden="1">
      <c r="A379" s="30">
        <v>8.002270846472E12</v>
      </c>
      <c r="B379" s="20" t="s">
        <v>4047</v>
      </c>
      <c r="C379" s="21">
        <v>0.062</v>
      </c>
      <c r="D379" s="21">
        <v>0.23</v>
      </c>
      <c r="E379" s="21">
        <v>0.062</v>
      </c>
      <c r="F379" s="22">
        <v>5.0</v>
      </c>
      <c r="G379" s="23"/>
      <c r="H379" s="24" t="s">
        <v>4048</v>
      </c>
      <c r="I379" s="21" t="s">
        <v>4049</v>
      </c>
      <c r="J379" s="24" t="s">
        <v>4050</v>
      </c>
      <c r="K379" s="21" t="s">
        <v>4051</v>
      </c>
      <c r="L379" s="25" t="s">
        <v>4052</v>
      </c>
      <c r="M379" s="26" t="s">
        <v>28</v>
      </c>
      <c r="N379" s="24" t="s">
        <v>1385</v>
      </c>
      <c r="O379" s="24" t="s">
        <v>1386</v>
      </c>
      <c r="P379" s="27"/>
      <c r="Q379" s="27"/>
      <c r="R379" s="28" t="s">
        <v>4053</v>
      </c>
      <c r="S379" s="8" t="s">
        <v>4054</v>
      </c>
      <c r="T379" s="29" t="s">
        <v>4055</v>
      </c>
      <c r="U379" s="24"/>
    </row>
    <row r="380" hidden="1">
      <c r="A380" s="30">
        <v>7.7975099919E10</v>
      </c>
      <c r="B380" s="20" t="s">
        <v>4354</v>
      </c>
      <c r="C380" s="21">
        <v>0.09999999</v>
      </c>
      <c r="D380" s="21">
        <v>0.155</v>
      </c>
      <c r="E380" s="21">
        <v>0.02</v>
      </c>
      <c r="F380" s="22">
        <v>15.0</v>
      </c>
      <c r="G380" s="23"/>
      <c r="H380" s="24" t="s">
        <v>4338</v>
      </c>
      <c r="I380" s="21" t="s">
        <v>4339</v>
      </c>
      <c r="J380" s="24" t="s">
        <v>4355</v>
      </c>
      <c r="K380" s="21" t="s">
        <v>4356</v>
      </c>
      <c r="L380" s="25" t="s">
        <v>4357</v>
      </c>
      <c r="M380" s="26" t="s">
        <v>28</v>
      </c>
      <c r="N380" s="24" t="s">
        <v>1413</v>
      </c>
      <c r="O380" s="24" t="s">
        <v>3563</v>
      </c>
      <c r="P380" s="27"/>
      <c r="Q380" s="27"/>
      <c r="R380" s="28" t="s">
        <v>4358</v>
      </c>
      <c r="S380" s="8" t="s">
        <v>4357</v>
      </c>
      <c r="T380" s="29" t="s">
        <v>4339</v>
      </c>
      <c r="U380" s="21" t="s">
        <v>32</v>
      </c>
    </row>
    <row r="381" hidden="1">
      <c r="A381" s="30">
        <v>7.7975099933E10</v>
      </c>
      <c r="B381" s="20" t="s">
        <v>4337</v>
      </c>
      <c r="C381" s="21">
        <v>0.09999999</v>
      </c>
      <c r="D381" s="21">
        <v>0.155</v>
      </c>
      <c r="E381" s="21">
        <v>0.02</v>
      </c>
      <c r="F381" s="22">
        <v>15.0</v>
      </c>
      <c r="G381" s="23"/>
      <c r="H381" s="24" t="s">
        <v>4338</v>
      </c>
      <c r="I381" s="21" t="s">
        <v>4339</v>
      </c>
      <c r="J381" s="24" t="s">
        <v>4340</v>
      </c>
      <c r="K381" s="21" t="s">
        <v>4341</v>
      </c>
      <c r="L381" s="25" t="s">
        <v>4342</v>
      </c>
      <c r="M381" s="26" t="s">
        <v>28</v>
      </c>
      <c r="N381" s="24" t="s">
        <v>1413</v>
      </c>
      <c r="O381" s="24" t="s">
        <v>3563</v>
      </c>
      <c r="P381" s="27"/>
      <c r="Q381" s="27"/>
      <c r="R381" s="28" t="s">
        <v>4343</v>
      </c>
      <c r="S381" s="8" t="s">
        <v>4342</v>
      </c>
      <c r="T381" s="29" t="s">
        <v>4339</v>
      </c>
      <c r="U381" s="21" t="s">
        <v>32</v>
      </c>
    </row>
    <row r="382" hidden="1">
      <c r="A382" s="30">
        <v>7.7975088227E10</v>
      </c>
      <c r="B382" s="20" t="s">
        <v>4364</v>
      </c>
      <c r="C382" s="21">
        <v>0.14</v>
      </c>
      <c r="D382" s="21">
        <v>0.26</v>
      </c>
      <c r="E382" s="21">
        <v>0.035</v>
      </c>
      <c r="F382" s="22">
        <v>9.0</v>
      </c>
      <c r="G382" s="23"/>
      <c r="H382" s="24" t="s">
        <v>4338</v>
      </c>
      <c r="I382" s="21" t="s">
        <v>4339</v>
      </c>
      <c r="J382" s="24" t="s">
        <v>4365</v>
      </c>
      <c r="K382" s="21" t="s">
        <v>4366</v>
      </c>
      <c r="L382" s="25" t="s">
        <v>4367</v>
      </c>
      <c r="M382" s="26" t="s">
        <v>28</v>
      </c>
      <c r="N382" s="24" t="s">
        <v>1413</v>
      </c>
      <c r="O382" s="24" t="s">
        <v>3570</v>
      </c>
      <c r="P382" s="27"/>
      <c r="Q382" s="27"/>
      <c r="R382" s="28" t="s">
        <v>4368</v>
      </c>
      <c r="S382" s="8" t="s">
        <v>4367</v>
      </c>
      <c r="T382" s="29" t="s">
        <v>4339</v>
      </c>
      <c r="U382" s="21" t="s">
        <v>32</v>
      </c>
    </row>
    <row r="383" hidden="1">
      <c r="A383" s="30">
        <v>7.7975094761E10</v>
      </c>
      <c r="B383" s="20" t="s">
        <v>4374</v>
      </c>
      <c r="C383" s="21">
        <v>0.15</v>
      </c>
      <c r="D383" s="21">
        <v>0.255</v>
      </c>
      <c r="E383" s="21">
        <v>0.07</v>
      </c>
      <c r="F383" s="22">
        <v>4.0</v>
      </c>
      <c r="G383" s="23"/>
      <c r="H383" s="24" t="s">
        <v>4338</v>
      </c>
      <c r="I383" s="21" t="s">
        <v>4339</v>
      </c>
      <c r="J383" s="24" t="s">
        <v>4375</v>
      </c>
      <c r="K383" s="21" t="s">
        <v>4376</v>
      </c>
      <c r="L383" s="25" t="s">
        <v>4377</v>
      </c>
      <c r="M383" s="26" t="s">
        <v>37</v>
      </c>
      <c r="N383" s="24" t="s">
        <v>1413</v>
      </c>
      <c r="O383" s="24" t="s">
        <v>3570</v>
      </c>
      <c r="P383" s="27"/>
      <c r="Q383" s="27"/>
      <c r="R383" s="28" t="s">
        <v>4378</v>
      </c>
      <c r="S383" s="8" t="s">
        <v>4379</v>
      </c>
      <c r="T383" s="29" t="e">
        <v>#N/A</v>
      </c>
      <c r="U383" s="21" t="s">
        <v>32</v>
      </c>
    </row>
    <row r="384" hidden="1">
      <c r="A384" s="30">
        <v>7.7975094006E10</v>
      </c>
      <c r="B384" s="20" t="s">
        <v>4344</v>
      </c>
      <c r="C384" s="21">
        <v>0.15</v>
      </c>
      <c r="D384" s="21">
        <v>0.26</v>
      </c>
      <c r="E384" s="21">
        <v>0.035</v>
      </c>
      <c r="F384" s="22">
        <v>9.0</v>
      </c>
      <c r="G384" s="23"/>
      <c r="H384" s="24" t="s">
        <v>4338</v>
      </c>
      <c r="I384" s="21" t="s">
        <v>4339</v>
      </c>
      <c r="J384" s="24" t="s">
        <v>4345</v>
      </c>
      <c r="K384" s="21" t="s">
        <v>4346</v>
      </c>
      <c r="L384" s="25" t="s">
        <v>4347</v>
      </c>
      <c r="M384" s="26" t="s">
        <v>28</v>
      </c>
      <c r="N384" s="24" t="s">
        <v>1413</v>
      </c>
      <c r="O384" s="24" t="s">
        <v>3570</v>
      </c>
      <c r="P384" s="27"/>
      <c r="Q384" s="27"/>
      <c r="R384" s="28" t="s">
        <v>4348</v>
      </c>
      <c r="S384" s="8" t="s">
        <v>4347</v>
      </c>
      <c r="T384" s="29" t="s">
        <v>4339</v>
      </c>
      <c r="U384" s="21" t="s">
        <v>32</v>
      </c>
    </row>
    <row r="385" hidden="1">
      <c r="A385" s="30">
        <v>7.7975094624E10</v>
      </c>
      <c r="B385" s="20" t="s">
        <v>4359</v>
      </c>
      <c r="C385" s="21">
        <v>0.14</v>
      </c>
      <c r="D385" s="21">
        <v>0.255</v>
      </c>
      <c r="E385" s="21">
        <v>0.07</v>
      </c>
      <c r="F385" s="22">
        <v>4.0</v>
      </c>
      <c r="G385" s="23"/>
      <c r="H385" s="24" t="s">
        <v>4338</v>
      </c>
      <c r="I385" s="21" t="s">
        <v>4339</v>
      </c>
      <c r="J385" s="24" t="s">
        <v>4360</v>
      </c>
      <c r="K385" s="21" t="s">
        <v>4361</v>
      </c>
      <c r="L385" s="25" t="s">
        <v>4362</v>
      </c>
      <c r="M385" s="26" t="s">
        <v>28</v>
      </c>
      <c r="N385" s="24" t="s">
        <v>1413</v>
      </c>
      <c r="O385" s="24" t="s">
        <v>3570</v>
      </c>
      <c r="P385" s="27"/>
      <c r="Q385" s="27"/>
      <c r="R385" s="28" t="s">
        <v>4363</v>
      </c>
      <c r="S385" s="8" t="s">
        <v>4362</v>
      </c>
      <c r="T385" s="29" t="s">
        <v>4339</v>
      </c>
      <c r="U385" s="21" t="s">
        <v>32</v>
      </c>
    </row>
    <row r="386" hidden="1">
      <c r="A386" s="30">
        <v>7.7975094631E10</v>
      </c>
      <c r="B386" s="20" t="s">
        <v>4349</v>
      </c>
      <c r="C386" s="21">
        <v>0.14</v>
      </c>
      <c r="D386" s="21">
        <v>0.255</v>
      </c>
      <c r="E386" s="21">
        <v>0.07</v>
      </c>
      <c r="F386" s="22">
        <v>4.0</v>
      </c>
      <c r="G386" s="23"/>
      <c r="H386" s="24" t="s">
        <v>4338</v>
      </c>
      <c r="I386" s="21" t="s">
        <v>4339</v>
      </c>
      <c r="J386" s="24" t="s">
        <v>4350</v>
      </c>
      <c r="K386" s="21" t="s">
        <v>4351</v>
      </c>
      <c r="L386" s="25" t="s">
        <v>4352</v>
      </c>
      <c r="M386" s="26" t="s">
        <v>28</v>
      </c>
      <c r="N386" s="24" t="s">
        <v>1413</v>
      </c>
      <c r="O386" s="24" t="s">
        <v>1414</v>
      </c>
      <c r="P386" s="27"/>
      <c r="Q386" s="27"/>
      <c r="R386" s="28" t="s">
        <v>4353</v>
      </c>
      <c r="S386" s="8" t="s">
        <v>4352</v>
      </c>
      <c r="T386" s="29" t="s">
        <v>4339</v>
      </c>
      <c r="U386" s="21" t="s">
        <v>32</v>
      </c>
    </row>
    <row r="387" hidden="1">
      <c r="A387" s="30">
        <v>7.7975091975E10</v>
      </c>
      <c r="B387" s="20" t="s">
        <v>4369</v>
      </c>
      <c r="C387" s="21">
        <v>0.14</v>
      </c>
      <c r="D387" s="21">
        <v>0.26</v>
      </c>
      <c r="E387" s="21">
        <v>0.035</v>
      </c>
      <c r="F387" s="22">
        <v>9.0</v>
      </c>
      <c r="G387" s="23"/>
      <c r="H387" s="24" t="s">
        <v>4338</v>
      </c>
      <c r="I387" s="21" t="s">
        <v>4339</v>
      </c>
      <c r="J387" s="24" t="s">
        <v>4370</v>
      </c>
      <c r="K387" s="21" t="s">
        <v>4371</v>
      </c>
      <c r="L387" s="25" t="s">
        <v>4372</v>
      </c>
      <c r="M387" s="26" t="s">
        <v>28</v>
      </c>
      <c r="N387" s="24" t="s">
        <v>1413</v>
      </c>
      <c r="O387" s="24" t="s">
        <v>1414</v>
      </c>
      <c r="P387" s="27"/>
      <c r="Q387" s="27"/>
      <c r="R387" s="28" t="s">
        <v>4373</v>
      </c>
      <c r="S387" s="33" t="s">
        <v>4372</v>
      </c>
      <c r="T387" s="29" t="s">
        <v>4339</v>
      </c>
      <c r="U387" s="21" t="s">
        <v>32</v>
      </c>
    </row>
    <row r="388" hidden="1">
      <c r="A388" s="30">
        <v>5.000159473866E12</v>
      </c>
      <c r="B388" s="20" t="s">
        <v>5210</v>
      </c>
      <c r="C388" s="21">
        <v>0.2</v>
      </c>
      <c r="D388" s="21">
        <v>0.18</v>
      </c>
      <c r="E388" s="21">
        <v>0.02</v>
      </c>
      <c r="F388" s="22">
        <v>15.0</v>
      </c>
      <c r="G388" s="23"/>
      <c r="H388" s="24" t="s">
        <v>4321</v>
      </c>
      <c r="I388" s="21" t="s">
        <v>4322</v>
      </c>
      <c r="J388" s="24" t="s">
        <v>4331</v>
      </c>
      <c r="K388" s="21" t="s">
        <v>4332</v>
      </c>
      <c r="L388" s="25" t="s">
        <v>4333</v>
      </c>
      <c r="M388" s="26" t="s">
        <v>28</v>
      </c>
      <c r="N388" s="24" t="s">
        <v>501</v>
      </c>
      <c r="O388" s="24" t="s">
        <v>3013</v>
      </c>
      <c r="P388" s="27"/>
      <c r="Q388" s="27"/>
      <c r="R388" s="31" t="s">
        <v>4334</v>
      </c>
      <c r="S388" s="33" t="s">
        <v>4335</v>
      </c>
      <c r="T388" s="29" t="s">
        <v>4336</v>
      </c>
      <c r="U388" s="24"/>
    </row>
    <row r="389" hidden="1">
      <c r="A389" s="30">
        <v>5.000159461122E12</v>
      </c>
      <c r="B389" s="20" t="s">
        <v>4320</v>
      </c>
      <c r="C389" s="21">
        <v>0.118</v>
      </c>
      <c r="D389" s="21">
        <v>0.03</v>
      </c>
      <c r="E389" s="21">
        <v>0.02</v>
      </c>
      <c r="F389" s="22">
        <v>15.0</v>
      </c>
      <c r="G389" s="23"/>
      <c r="H389" s="24" t="s">
        <v>4321</v>
      </c>
      <c r="I389" s="21" t="s">
        <v>4322</v>
      </c>
      <c r="J389" s="24" t="s">
        <v>4323</v>
      </c>
      <c r="K389" s="21" t="s">
        <v>4324</v>
      </c>
      <c r="L389" s="25" t="s">
        <v>4325</v>
      </c>
      <c r="M389" s="26" t="s">
        <v>28</v>
      </c>
      <c r="N389" s="24" t="s">
        <v>501</v>
      </c>
      <c r="O389" s="24" t="s">
        <v>502</v>
      </c>
      <c r="P389" s="27"/>
      <c r="Q389" s="27"/>
      <c r="R389" s="31" t="s">
        <v>4326</v>
      </c>
      <c r="S389" s="33" t="s">
        <v>4327</v>
      </c>
      <c r="T389" s="29" t="s">
        <v>4322</v>
      </c>
      <c r="U389" s="24"/>
    </row>
    <row r="390" hidden="1">
      <c r="A390" s="30">
        <v>7.290112344007E12</v>
      </c>
      <c r="B390" s="20" t="s">
        <v>4412</v>
      </c>
      <c r="C390" s="21">
        <v>0.09999999</v>
      </c>
      <c r="D390" s="21">
        <v>0.15</v>
      </c>
      <c r="E390" s="21">
        <v>0.05</v>
      </c>
      <c r="F390" s="22">
        <v>6.0</v>
      </c>
      <c r="G390" s="23"/>
      <c r="H390" s="24" t="s">
        <v>4398</v>
      </c>
      <c r="I390" s="21" t="s">
        <v>4399</v>
      </c>
      <c r="J390" s="24" t="s">
        <v>4413</v>
      </c>
      <c r="K390" s="21" t="s">
        <v>4414</v>
      </c>
      <c r="L390" s="25" t="s">
        <v>4415</v>
      </c>
      <c r="M390" s="26" t="s">
        <v>28</v>
      </c>
      <c r="N390" s="24" t="s">
        <v>501</v>
      </c>
      <c r="O390" s="24" t="s">
        <v>729</v>
      </c>
      <c r="P390" s="27"/>
      <c r="Q390" s="27"/>
      <c r="R390" s="28" t="s">
        <v>4416</v>
      </c>
      <c r="S390" s="8" t="s">
        <v>4417</v>
      </c>
      <c r="T390" s="29" t="s">
        <v>4411</v>
      </c>
      <c r="U390" s="24"/>
    </row>
    <row r="391" hidden="1">
      <c r="A391" s="30">
        <v>7.290112344793E12</v>
      </c>
      <c r="B391" s="20" t="s">
        <v>4405</v>
      </c>
      <c r="C391" s="21">
        <v>0.09999999</v>
      </c>
      <c r="D391" s="21">
        <v>0.15</v>
      </c>
      <c r="E391" s="21">
        <v>0.05</v>
      </c>
      <c r="F391" s="22">
        <v>6.0</v>
      </c>
      <c r="G391" s="23"/>
      <c r="H391" s="24" t="s">
        <v>4398</v>
      </c>
      <c r="I391" s="21" t="s">
        <v>4399</v>
      </c>
      <c r="J391" s="24" t="s">
        <v>4406</v>
      </c>
      <c r="K391" s="21" t="s">
        <v>4407</v>
      </c>
      <c r="L391" s="25" t="s">
        <v>4408</v>
      </c>
      <c r="M391" s="26" t="s">
        <v>28</v>
      </c>
      <c r="N391" s="24" t="s">
        <v>501</v>
      </c>
      <c r="O391" s="24" t="s">
        <v>729</v>
      </c>
      <c r="P391" s="27"/>
      <c r="Q391" s="27"/>
      <c r="R391" s="28" t="s">
        <v>4409</v>
      </c>
      <c r="S391" s="8" t="s">
        <v>4410</v>
      </c>
      <c r="T391" s="29" t="s">
        <v>4411</v>
      </c>
      <c r="U391" s="24"/>
    </row>
    <row r="392" hidden="1">
      <c r="A392" s="30">
        <v>7.290105961525E12</v>
      </c>
      <c r="B392" s="20" t="s">
        <v>4397</v>
      </c>
      <c r="C392" s="21">
        <v>0.09</v>
      </c>
      <c r="D392" s="21">
        <v>0.18</v>
      </c>
      <c r="E392" s="21">
        <v>0.01</v>
      </c>
      <c r="F392" s="22">
        <v>30.0</v>
      </c>
      <c r="G392" s="23"/>
      <c r="H392" s="24" t="s">
        <v>4398</v>
      </c>
      <c r="I392" s="21" t="s">
        <v>4399</v>
      </c>
      <c r="J392" s="24" t="s">
        <v>4400</v>
      </c>
      <c r="K392" s="21" t="s">
        <v>4401</v>
      </c>
      <c r="L392" s="25" t="s">
        <v>4402</v>
      </c>
      <c r="M392" s="26" t="s">
        <v>28</v>
      </c>
      <c r="N392" s="24" t="s">
        <v>1484</v>
      </c>
      <c r="O392" s="24" t="s">
        <v>1485</v>
      </c>
      <c r="P392" s="27"/>
      <c r="Q392" s="27"/>
      <c r="R392" s="28" t="s">
        <v>4403</v>
      </c>
      <c r="S392" s="8" t="s">
        <v>4404</v>
      </c>
      <c r="T392" s="29" t="s">
        <v>4399</v>
      </c>
      <c r="U392" s="24"/>
    </row>
    <row r="393" hidden="1">
      <c r="A393" s="30">
        <v>7.290013585257E12</v>
      </c>
      <c r="B393" s="20" t="s">
        <v>4472</v>
      </c>
      <c r="C393" s="21">
        <v>0.065</v>
      </c>
      <c r="D393" s="21">
        <v>0.24</v>
      </c>
      <c r="E393" s="21">
        <v>0.065</v>
      </c>
      <c r="F393" s="22">
        <v>5.0</v>
      </c>
      <c r="G393" s="23"/>
      <c r="H393" s="24" t="s">
        <v>4445</v>
      </c>
      <c r="I393" s="21" t="s">
        <v>4446</v>
      </c>
      <c r="J393" s="24" t="s">
        <v>4473</v>
      </c>
      <c r="K393" s="21" t="s">
        <v>4474</v>
      </c>
      <c r="L393" s="25" t="s">
        <v>4475</v>
      </c>
      <c r="M393" s="26" t="s">
        <v>28</v>
      </c>
      <c r="N393" s="24" t="s">
        <v>4450</v>
      </c>
      <c r="O393" s="24" t="s">
        <v>4476</v>
      </c>
      <c r="P393" s="27"/>
      <c r="Q393" s="27"/>
      <c r="R393" s="28" t="s">
        <v>4477</v>
      </c>
      <c r="S393" s="8" t="s">
        <v>4478</v>
      </c>
      <c r="T393" s="29" t="s">
        <v>4446</v>
      </c>
      <c r="U393" s="24"/>
    </row>
    <row r="394" hidden="1">
      <c r="A394" s="30">
        <v>7.290013585233E12</v>
      </c>
      <c r="B394" s="20" t="s">
        <v>4479</v>
      </c>
      <c r="C394" s="21">
        <v>0.057</v>
      </c>
      <c r="D394" s="21">
        <v>0.14</v>
      </c>
      <c r="E394" s="21">
        <v>0.057</v>
      </c>
      <c r="F394" s="22">
        <v>5.0</v>
      </c>
      <c r="G394" s="23"/>
      <c r="H394" s="24" t="s">
        <v>4445</v>
      </c>
      <c r="I394" s="21" t="s">
        <v>4446</v>
      </c>
      <c r="J394" s="24" t="s">
        <v>4480</v>
      </c>
      <c r="K394" s="21" t="s">
        <v>4481</v>
      </c>
      <c r="L394" s="25" t="s">
        <v>4482</v>
      </c>
      <c r="M394" s="26" t="s">
        <v>28</v>
      </c>
      <c r="N394" s="24" t="s">
        <v>4450</v>
      </c>
      <c r="O394" s="24" t="s">
        <v>4476</v>
      </c>
      <c r="P394" s="27"/>
      <c r="Q394" s="27"/>
      <c r="R394" s="28" t="s">
        <v>4483</v>
      </c>
      <c r="S394" s="8" t="s">
        <v>4484</v>
      </c>
      <c r="T394" s="29" t="s">
        <v>4446</v>
      </c>
      <c r="U394" s="24"/>
    </row>
    <row r="395" hidden="1">
      <c r="A395" s="30">
        <v>7.29001358524E12</v>
      </c>
      <c r="B395" s="20" t="s">
        <v>4444</v>
      </c>
      <c r="C395" s="21">
        <v>0.095</v>
      </c>
      <c r="D395" s="21">
        <v>0.333</v>
      </c>
      <c r="E395" s="21">
        <v>0.095</v>
      </c>
      <c r="F395" s="22">
        <v>3.0</v>
      </c>
      <c r="G395" s="23"/>
      <c r="H395" s="24" t="s">
        <v>4445</v>
      </c>
      <c r="I395" s="21" t="s">
        <v>4446</v>
      </c>
      <c r="J395" s="24" t="s">
        <v>4447</v>
      </c>
      <c r="K395" s="21" t="s">
        <v>4448</v>
      </c>
      <c r="L395" s="25" t="s">
        <v>4449</v>
      </c>
      <c r="M395" s="26" t="s">
        <v>28</v>
      </c>
      <c r="N395" s="24" t="s">
        <v>4450</v>
      </c>
      <c r="O395" s="24" t="s">
        <v>4451</v>
      </c>
      <c r="P395" s="27"/>
      <c r="Q395" s="27"/>
      <c r="R395" s="28" t="s">
        <v>4452</v>
      </c>
      <c r="S395" s="8" t="s">
        <v>4453</v>
      </c>
      <c r="T395" s="29" t="s">
        <v>4446</v>
      </c>
      <c r="U395" s="24"/>
    </row>
    <row r="396" hidden="1">
      <c r="A396" s="30">
        <v>7.290110110635E12</v>
      </c>
      <c r="B396" s="20" t="s">
        <v>4466</v>
      </c>
      <c r="C396" s="21">
        <v>0.065</v>
      </c>
      <c r="D396" s="21">
        <v>0.24</v>
      </c>
      <c r="E396" s="21">
        <v>0.065</v>
      </c>
      <c r="F396" s="22">
        <v>5.0</v>
      </c>
      <c r="G396" s="23"/>
      <c r="H396" s="24" t="s">
        <v>4445</v>
      </c>
      <c r="I396" s="21" t="s">
        <v>4446</v>
      </c>
      <c r="J396" s="24" t="s">
        <v>4467</v>
      </c>
      <c r="K396" s="21" t="s">
        <v>4468</v>
      </c>
      <c r="L396" s="25" t="s">
        <v>4469</v>
      </c>
      <c r="M396" s="26" t="s">
        <v>28</v>
      </c>
      <c r="N396" s="24" t="s">
        <v>4261</v>
      </c>
      <c r="O396" s="24" t="s">
        <v>4270</v>
      </c>
      <c r="P396" s="27"/>
      <c r="Q396" s="27"/>
      <c r="R396" s="28" t="s">
        <v>4470</v>
      </c>
      <c r="S396" s="8" t="s">
        <v>4471</v>
      </c>
      <c r="T396" s="29" t="s">
        <v>4446</v>
      </c>
      <c r="U396" s="24"/>
    </row>
    <row r="397" hidden="1">
      <c r="A397" s="30">
        <v>7.290110110659E12</v>
      </c>
      <c r="B397" s="20" t="s">
        <v>4454</v>
      </c>
      <c r="C397" s="21">
        <v>0.057</v>
      </c>
      <c r="D397" s="21">
        <v>0.14</v>
      </c>
      <c r="E397" s="21">
        <v>0.057</v>
      </c>
      <c r="F397" s="22">
        <v>5.0</v>
      </c>
      <c r="G397" s="23"/>
      <c r="H397" s="24" t="s">
        <v>4445</v>
      </c>
      <c r="I397" s="21" t="s">
        <v>4446</v>
      </c>
      <c r="J397" s="24" t="s">
        <v>4455</v>
      </c>
      <c r="K397" s="21" t="s">
        <v>4456</v>
      </c>
      <c r="L397" s="25" t="s">
        <v>4457</v>
      </c>
      <c r="M397" s="26" t="s">
        <v>28</v>
      </c>
      <c r="N397" s="24" t="s">
        <v>4261</v>
      </c>
      <c r="O397" s="24" t="s">
        <v>4270</v>
      </c>
      <c r="P397" s="27"/>
      <c r="Q397" s="27"/>
      <c r="R397" s="28" t="s">
        <v>4458</v>
      </c>
      <c r="S397" s="8" t="s">
        <v>4459</v>
      </c>
      <c r="T397" s="29" t="s">
        <v>4446</v>
      </c>
      <c r="U397" s="24"/>
    </row>
    <row r="398" hidden="1">
      <c r="A398" s="30">
        <v>7.290110110611E12</v>
      </c>
      <c r="B398" s="20" t="s">
        <v>4460</v>
      </c>
      <c r="C398" s="21">
        <v>0.095</v>
      </c>
      <c r="D398" s="21">
        <v>0.333</v>
      </c>
      <c r="E398" s="21">
        <v>0.095</v>
      </c>
      <c r="F398" s="22">
        <v>3.0</v>
      </c>
      <c r="G398" s="23"/>
      <c r="H398" s="24" t="s">
        <v>4445</v>
      </c>
      <c r="I398" s="21" t="s">
        <v>4446</v>
      </c>
      <c r="J398" s="24" t="s">
        <v>4461</v>
      </c>
      <c r="K398" s="21" t="s">
        <v>4462</v>
      </c>
      <c r="L398" s="25" t="s">
        <v>4463</v>
      </c>
      <c r="M398" s="26" t="s">
        <v>28</v>
      </c>
      <c r="N398" s="24" t="s">
        <v>4261</v>
      </c>
      <c r="O398" s="24" t="s">
        <v>4262</v>
      </c>
      <c r="P398" s="27"/>
      <c r="Q398" s="27"/>
      <c r="R398" s="31" t="s">
        <v>4464</v>
      </c>
      <c r="S398" s="8" t="s">
        <v>4465</v>
      </c>
      <c r="T398" s="29" t="s">
        <v>4446</v>
      </c>
      <c r="U398" s="24"/>
    </row>
    <row r="399" hidden="1">
      <c r="A399" s="30">
        <v>7.290005564253E12</v>
      </c>
      <c r="B399" s="20" t="s">
        <v>4426</v>
      </c>
      <c r="C399" s="21">
        <v>0.09</v>
      </c>
      <c r="D399" s="21">
        <v>0.316</v>
      </c>
      <c r="E399" s="21">
        <v>0.09</v>
      </c>
      <c r="F399" s="22">
        <v>3.0</v>
      </c>
      <c r="G399" s="23"/>
      <c r="H399" s="24" t="s">
        <v>4419</v>
      </c>
      <c r="I399" s="21" t="s">
        <v>4420</v>
      </c>
      <c r="J399" s="24" t="s">
        <v>4427</v>
      </c>
      <c r="K399" s="21" t="s">
        <v>4428</v>
      </c>
      <c r="L399" s="25" t="s">
        <v>4429</v>
      </c>
      <c r="M399" s="26" t="s">
        <v>37</v>
      </c>
      <c r="N399" s="24" t="s">
        <v>718</v>
      </c>
      <c r="O399" s="24" t="s">
        <v>1526</v>
      </c>
      <c r="P399" s="27"/>
      <c r="Q399" s="27"/>
      <c r="R399" s="31" t="s">
        <v>4430</v>
      </c>
      <c r="S399" s="33" t="s">
        <v>4431</v>
      </c>
      <c r="T399" s="29" t="e">
        <v>#N/A</v>
      </c>
      <c r="U399" s="24"/>
    </row>
    <row r="400" hidden="1">
      <c r="A400" s="30">
        <v>7.290003608089E12</v>
      </c>
      <c r="B400" s="20" t="s">
        <v>4438</v>
      </c>
      <c r="C400" s="21">
        <v>0.09</v>
      </c>
      <c r="D400" s="21">
        <v>0.316</v>
      </c>
      <c r="E400" s="21">
        <v>0.09</v>
      </c>
      <c r="F400" s="22">
        <v>3.0</v>
      </c>
      <c r="G400" s="23"/>
      <c r="H400" s="24" t="s">
        <v>4419</v>
      </c>
      <c r="I400" s="21" t="s">
        <v>4420</v>
      </c>
      <c r="J400" s="24" t="s">
        <v>4439</v>
      </c>
      <c r="K400" s="21" t="s">
        <v>4440</v>
      </c>
      <c r="L400" s="25" t="s">
        <v>4441</v>
      </c>
      <c r="M400" s="26" t="s">
        <v>37</v>
      </c>
      <c r="N400" s="24" t="s">
        <v>718</v>
      </c>
      <c r="O400" s="24" t="s">
        <v>1526</v>
      </c>
      <c r="P400" s="27"/>
      <c r="Q400" s="27"/>
      <c r="R400" s="31" t="s">
        <v>4442</v>
      </c>
      <c r="S400" s="33" t="s">
        <v>4443</v>
      </c>
      <c r="T400" s="29" t="e">
        <v>#N/A</v>
      </c>
      <c r="U400" s="24"/>
    </row>
    <row r="401" hidden="1">
      <c r="A401" s="30">
        <v>7.290016006773E12</v>
      </c>
      <c r="B401" s="20" t="s">
        <v>4418</v>
      </c>
      <c r="C401" s="21">
        <v>0.065</v>
      </c>
      <c r="D401" s="21">
        <v>0.172</v>
      </c>
      <c r="E401" s="21">
        <v>0.065</v>
      </c>
      <c r="F401" s="22">
        <v>5.0</v>
      </c>
      <c r="G401" s="23"/>
      <c r="H401" s="24" t="s">
        <v>4419</v>
      </c>
      <c r="I401" s="21" t="s">
        <v>4420</v>
      </c>
      <c r="J401" s="24" t="s">
        <v>4421</v>
      </c>
      <c r="K401" s="21" t="s">
        <v>4422</v>
      </c>
      <c r="L401" s="25" t="s">
        <v>4423</v>
      </c>
      <c r="M401" s="26" t="s">
        <v>28</v>
      </c>
      <c r="N401" s="24" t="s">
        <v>1555</v>
      </c>
      <c r="O401" s="24" t="s">
        <v>1556</v>
      </c>
      <c r="P401" s="27"/>
      <c r="Q401" s="27"/>
      <c r="R401" s="28" t="s">
        <v>4424</v>
      </c>
      <c r="S401" s="8" t="s">
        <v>4425</v>
      </c>
      <c r="T401" s="29" t="s">
        <v>4420</v>
      </c>
      <c r="U401" s="24"/>
    </row>
    <row r="402" hidden="1">
      <c r="A402" s="30">
        <v>7.290016006759E12</v>
      </c>
      <c r="B402" s="20" t="s">
        <v>4432</v>
      </c>
      <c r="C402" s="21">
        <v>0.065</v>
      </c>
      <c r="D402" s="21">
        <v>0.172</v>
      </c>
      <c r="E402" s="21">
        <v>0.065</v>
      </c>
      <c r="F402" s="22">
        <v>5.0</v>
      </c>
      <c r="G402" s="23"/>
      <c r="H402" s="24" t="s">
        <v>4419</v>
      </c>
      <c r="I402" s="21" t="s">
        <v>4420</v>
      </c>
      <c r="J402" s="24" t="s">
        <v>4433</v>
      </c>
      <c r="K402" s="21" t="s">
        <v>4434</v>
      </c>
      <c r="L402" s="25" t="s">
        <v>4435</v>
      </c>
      <c r="M402" s="26" t="s">
        <v>28</v>
      </c>
      <c r="N402" s="24" t="s">
        <v>1555</v>
      </c>
      <c r="O402" s="24" t="s">
        <v>1556</v>
      </c>
      <c r="P402" s="27"/>
      <c r="Q402" s="27"/>
      <c r="R402" s="28" t="s">
        <v>4436</v>
      </c>
      <c r="S402" s="8" t="s">
        <v>4437</v>
      </c>
      <c r="T402" s="29" t="s">
        <v>4420</v>
      </c>
      <c r="U402" s="24"/>
    </row>
    <row r="403" hidden="1">
      <c r="A403" s="30">
        <v>2824640.0</v>
      </c>
      <c r="B403" s="20" t="s">
        <v>4273</v>
      </c>
      <c r="C403" s="21">
        <v>0.095</v>
      </c>
      <c r="D403" s="21">
        <v>0.07</v>
      </c>
      <c r="E403" s="21">
        <v>0.09</v>
      </c>
      <c r="F403" s="22">
        <v>3.0</v>
      </c>
      <c r="G403" s="23"/>
      <c r="H403" s="24" t="s">
        <v>4274</v>
      </c>
      <c r="I403" s="21" t="s">
        <v>4275</v>
      </c>
      <c r="J403" s="24" t="s">
        <v>4276</v>
      </c>
      <c r="K403" s="21" t="s">
        <v>4277</v>
      </c>
      <c r="L403" s="25" t="s">
        <v>4278</v>
      </c>
      <c r="M403" s="26" t="s">
        <v>28</v>
      </c>
      <c r="N403" s="24" t="s">
        <v>4279</v>
      </c>
      <c r="O403" s="24" t="s">
        <v>4280</v>
      </c>
      <c r="P403" s="27"/>
      <c r="Q403" s="27"/>
      <c r="R403" s="28" t="s">
        <v>4281</v>
      </c>
      <c r="S403" s="8" t="s">
        <v>4282</v>
      </c>
      <c r="T403" s="29" t="s">
        <v>4283</v>
      </c>
      <c r="U403" s="24"/>
    </row>
    <row r="404" hidden="1">
      <c r="A404" s="30">
        <v>5.000159376792E12</v>
      </c>
      <c r="B404" s="20" t="s">
        <v>4292</v>
      </c>
      <c r="C404" s="21">
        <v>0.07</v>
      </c>
      <c r="D404" s="21">
        <v>0.122</v>
      </c>
      <c r="E404" s="21">
        <v>0.005</v>
      </c>
      <c r="F404" s="22">
        <v>60.0</v>
      </c>
      <c r="G404" s="23"/>
      <c r="H404" s="24" t="s">
        <v>4285</v>
      </c>
      <c r="I404" s="21" t="s">
        <v>4286</v>
      </c>
      <c r="J404" s="24" t="s">
        <v>4293</v>
      </c>
      <c r="K404" s="21" t="s">
        <v>4294</v>
      </c>
      <c r="L404" s="25" t="s">
        <v>4295</v>
      </c>
      <c r="M404" s="26" t="s">
        <v>28</v>
      </c>
      <c r="N404" s="24" t="s">
        <v>2625</v>
      </c>
      <c r="O404" s="24" t="s">
        <v>2626</v>
      </c>
      <c r="P404" s="27"/>
      <c r="Q404" s="27"/>
      <c r="R404" s="28" t="s">
        <v>4296</v>
      </c>
      <c r="S404" s="8" t="s">
        <v>4297</v>
      </c>
      <c r="T404" s="29" t="s">
        <v>4286</v>
      </c>
      <c r="U404" s="24"/>
    </row>
    <row r="405" hidden="1">
      <c r="A405" s="30">
        <v>5.000159376655E12</v>
      </c>
      <c r="B405" s="20" t="s">
        <v>4284</v>
      </c>
      <c r="C405" s="21">
        <v>0.07</v>
      </c>
      <c r="D405" s="21">
        <v>0.122</v>
      </c>
      <c r="E405" s="21">
        <v>0.005</v>
      </c>
      <c r="F405" s="22">
        <v>60.0</v>
      </c>
      <c r="G405" s="23"/>
      <c r="H405" s="24" t="s">
        <v>4285</v>
      </c>
      <c r="I405" s="21" t="s">
        <v>4286</v>
      </c>
      <c r="J405" s="24" t="s">
        <v>4287</v>
      </c>
      <c r="K405" s="21" t="s">
        <v>4288</v>
      </c>
      <c r="L405" s="25" t="s">
        <v>4289</v>
      </c>
      <c r="M405" s="26" t="s">
        <v>28</v>
      </c>
      <c r="N405" s="24" t="s">
        <v>2625</v>
      </c>
      <c r="O405" s="24" t="s">
        <v>2626</v>
      </c>
      <c r="P405" s="27"/>
      <c r="Q405" s="27"/>
      <c r="R405" s="28" t="s">
        <v>4290</v>
      </c>
      <c r="S405" s="8" t="s">
        <v>4291</v>
      </c>
      <c r="T405" s="29" t="s">
        <v>4286</v>
      </c>
      <c r="U405" s="24"/>
    </row>
    <row r="406" hidden="1">
      <c r="A406" s="30">
        <v>8.56591000062E11</v>
      </c>
      <c r="B406" s="20" t="s">
        <v>22</v>
      </c>
      <c r="C406" s="21">
        <v>0.15</v>
      </c>
      <c r="D406" s="21">
        <v>0.27</v>
      </c>
      <c r="E406" s="21">
        <v>0.05</v>
      </c>
      <c r="F406" s="22">
        <v>6.0</v>
      </c>
      <c r="G406" s="23"/>
      <c r="H406" s="24" t="s">
        <v>23</v>
      </c>
      <c r="I406" s="21" t="s">
        <v>24</v>
      </c>
      <c r="J406" s="24" t="s">
        <v>25</v>
      </c>
      <c r="K406" s="21" t="s">
        <v>26</v>
      </c>
      <c r="L406" s="25" t="s">
        <v>27</v>
      </c>
      <c r="M406" s="26" t="s">
        <v>28</v>
      </c>
      <c r="N406" s="24" t="s">
        <v>29</v>
      </c>
      <c r="O406" s="24" t="s">
        <v>30</v>
      </c>
      <c r="P406" s="27"/>
      <c r="Q406" s="27"/>
      <c r="R406" s="31" t="s">
        <v>31</v>
      </c>
      <c r="S406" s="8" t="s">
        <v>27</v>
      </c>
      <c r="T406" s="29" t="s">
        <v>24</v>
      </c>
      <c r="U406" s="21" t="s">
        <v>32</v>
      </c>
    </row>
    <row r="407" hidden="1">
      <c r="A407" s="30">
        <v>8.56591000109E11</v>
      </c>
      <c r="B407" s="20" t="s">
        <v>40</v>
      </c>
      <c r="C407" s="21">
        <v>0.15</v>
      </c>
      <c r="D407" s="21">
        <v>0.27</v>
      </c>
      <c r="E407" s="21">
        <v>0.05</v>
      </c>
      <c r="F407" s="22">
        <v>6.0</v>
      </c>
      <c r="G407" s="23"/>
      <c r="H407" s="24" t="s">
        <v>23</v>
      </c>
      <c r="I407" s="21" t="s">
        <v>24</v>
      </c>
      <c r="J407" s="24" t="s">
        <v>41</v>
      </c>
      <c r="K407" s="21" t="s">
        <v>42</v>
      </c>
      <c r="L407" s="25" t="s">
        <v>43</v>
      </c>
      <c r="M407" s="26" t="s">
        <v>28</v>
      </c>
      <c r="N407" s="24" t="s">
        <v>29</v>
      </c>
      <c r="O407" s="24" t="s">
        <v>30</v>
      </c>
      <c r="P407" s="27"/>
      <c r="Q407" s="27"/>
      <c r="R407" s="28" t="s">
        <v>44</v>
      </c>
      <c r="S407" s="8" t="s">
        <v>43</v>
      </c>
      <c r="T407" s="29" t="s">
        <v>24</v>
      </c>
      <c r="U407" s="21" t="s">
        <v>32</v>
      </c>
    </row>
    <row r="408" hidden="1">
      <c r="A408" s="30">
        <v>7.290002132011E12</v>
      </c>
      <c r="B408" s="20" t="s">
        <v>33</v>
      </c>
      <c r="C408" s="21">
        <v>0.17</v>
      </c>
      <c r="D408" s="21">
        <v>0.27</v>
      </c>
      <c r="E408" s="21">
        <v>0.05</v>
      </c>
      <c r="F408" s="22">
        <v>6.0</v>
      </c>
      <c r="G408" s="23"/>
      <c r="H408" s="24" t="s">
        <v>23</v>
      </c>
      <c r="I408" s="21" t="s">
        <v>24</v>
      </c>
      <c r="J408" s="24" t="s">
        <v>34</v>
      </c>
      <c r="K408" s="21" t="s">
        <v>35</v>
      </c>
      <c r="L408" s="25" t="s">
        <v>36</v>
      </c>
      <c r="M408" s="26" t="s">
        <v>37</v>
      </c>
      <c r="N408" s="24" t="s">
        <v>29</v>
      </c>
      <c r="O408" s="24" t="s">
        <v>30</v>
      </c>
      <c r="P408" s="27"/>
      <c r="Q408" s="27"/>
      <c r="R408" s="28" t="s">
        <v>38</v>
      </c>
      <c r="S408" s="8" t="s">
        <v>39</v>
      </c>
      <c r="T408" s="29" t="e">
        <v>#N/A</v>
      </c>
      <c r="U408" s="21" t="s">
        <v>32</v>
      </c>
    </row>
    <row r="409" hidden="1">
      <c r="A409" s="30">
        <v>5431128.0</v>
      </c>
      <c r="B409" s="20" t="s">
        <v>1140</v>
      </c>
      <c r="C409" s="21">
        <v>0.073</v>
      </c>
      <c r="D409" s="21">
        <v>0.072</v>
      </c>
      <c r="E409" s="21">
        <v>0.075</v>
      </c>
      <c r="F409" s="22">
        <v>4.0</v>
      </c>
      <c r="G409" s="23"/>
      <c r="H409" s="24" t="s">
        <v>1141</v>
      </c>
      <c r="I409" s="21" t="s">
        <v>1142</v>
      </c>
      <c r="J409" s="24" t="s">
        <v>1143</v>
      </c>
      <c r="K409" s="21" t="s">
        <v>1144</v>
      </c>
      <c r="L409" s="25" t="s">
        <v>1145</v>
      </c>
      <c r="M409" s="26" t="s">
        <v>28</v>
      </c>
      <c r="N409" s="24" t="s">
        <v>1011</v>
      </c>
      <c r="O409" s="24" t="s">
        <v>1146</v>
      </c>
      <c r="P409" s="27"/>
      <c r="Q409" s="27"/>
      <c r="R409" s="28" t="s">
        <v>1147</v>
      </c>
      <c r="S409" s="8" t="s">
        <v>1148</v>
      </c>
      <c r="T409" s="29" t="s">
        <v>1142</v>
      </c>
      <c r="U409" s="24"/>
    </row>
    <row r="410" hidden="1">
      <c r="A410" s="30">
        <v>5431999.0</v>
      </c>
      <c r="B410" s="20" t="s">
        <v>1149</v>
      </c>
      <c r="C410" s="21">
        <v>0.073</v>
      </c>
      <c r="D410" s="21">
        <v>0.072</v>
      </c>
      <c r="E410" s="21">
        <v>0.075</v>
      </c>
      <c r="F410" s="22">
        <v>4.0</v>
      </c>
      <c r="G410" s="23"/>
      <c r="H410" s="24" t="s">
        <v>1141</v>
      </c>
      <c r="I410" s="21" t="s">
        <v>1142</v>
      </c>
      <c r="J410" s="24" t="s">
        <v>1150</v>
      </c>
      <c r="K410" s="21" t="s">
        <v>1151</v>
      </c>
      <c r="L410" s="25" t="s">
        <v>1152</v>
      </c>
      <c r="M410" s="26" t="s">
        <v>28</v>
      </c>
      <c r="N410" s="24" t="s">
        <v>1011</v>
      </c>
      <c r="O410" s="24" t="s">
        <v>1146</v>
      </c>
      <c r="P410" s="27"/>
      <c r="Q410" s="27"/>
      <c r="R410" s="28" t="s">
        <v>1153</v>
      </c>
      <c r="S410" s="8" t="s">
        <v>1154</v>
      </c>
      <c r="T410" s="29" t="s">
        <v>1142</v>
      </c>
      <c r="U410" s="24"/>
    </row>
    <row r="411" hidden="1">
      <c r="A411" s="30">
        <v>7.290018194683E12</v>
      </c>
      <c r="B411" s="20" t="s">
        <v>4809</v>
      </c>
      <c r="C411" s="21">
        <v>0.09</v>
      </c>
      <c r="D411" s="21">
        <v>0.15</v>
      </c>
      <c r="E411" s="21">
        <v>0.09</v>
      </c>
      <c r="F411" s="22">
        <v>3.0</v>
      </c>
      <c r="G411" s="23"/>
      <c r="H411" s="24" t="s">
        <v>4810</v>
      </c>
      <c r="I411" s="21" t="s">
        <v>4811</v>
      </c>
      <c r="J411" s="24" t="s">
        <v>4812</v>
      </c>
      <c r="K411" s="21" t="s">
        <v>4813</v>
      </c>
      <c r="L411" s="25" t="s">
        <v>4814</v>
      </c>
      <c r="M411" s="26" t="s">
        <v>28</v>
      </c>
      <c r="N411" s="24" t="s">
        <v>4815</v>
      </c>
      <c r="O411" s="24" t="s">
        <v>4816</v>
      </c>
      <c r="P411" s="27"/>
      <c r="Q411" s="27"/>
      <c r="R411" s="31" t="s">
        <v>4817</v>
      </c>
      <c r="S411" s="33" t="s">
        <v>4818</v>
      </c>
      <c r="T411" s="29" t="s">
        <v>4819</v>
      </c>
      <c r="U411" s="24"/>
    </row>
    <row r="412" hidden="1">
      <c r="A412" s="30">
        <v>7.290107951111E12</v>
      </c>
      <c r="B412" s="20" t="s">
        <v>5211</v>
      </c>
      <c r="C412" s="21">
        <v>0.135</v>
      </c>
      <c r="D412" s="21">
        <v>0.2</v>
      </c>
      <c r="E412" s="21">
        <v>0.035</v>
      </c>
      <c r="F412" s="22">
        <v>9.0</v>
      </c>
      <c r="G412" s="23"/>
      <c r="H412" s="32" t="s">
        <v>1164</v>
      </c>
      <c r="I412" s="21" t="s">
        <v>5212</v>
      </c>
      <c r="J412" s="24" t="s">
        <v>223</v>
      </c>
      <c r="K412" s="21" t="s">
        <v>224</v>
      </c>
      <c r="L412" s="25" t="s">
        <v>225</v>
      </c>
      <c r="M412" s="26" t="s">
        <v>28</v>
      </c>
      <c r="N412" s="24" t="s">
        <v>185</v>
      </c>
      <c r="O412" s="24" t="s">
        <v>226</v>
      </c>
      <c r="P412" s="27"/>
      <c r="Q412" s="27"/>
      <c r="R412" s="28" t="s">
        <v>227</v>
      </c>
      <c r="S412" s="8" t="s">
        <v>228</v>
      </c>
      <c r="T412" s="29" t="s">
        <v>189</v>
      </c>
      <c r="U412" s="24"/>
    </row>
    <row r="413" hidden="1">
      <c r="A413" s="30">
        <v>7.290107951104E12</v>
      </c>
      <c r="B413" s="20" t="s">
        <v>5213</v>
      </c>
      <c r="C413" s="21">
        <v>0.135</v>
      </c>
      <c r="D413" s="21">
        <v>0.2</v>
      </c>
      <c r="E413" s="21">
        <v>0.035</v>
      </c>
      <c r="F413" s="22">
        <v>9.0</v>
      </c>
      <c r="G413" s="23"/>
      <c r="H413" s="32" t="s">
        <v>1164</v>
      </c>
      <c r="I413" s="21" t="s">
        <v>5212</v>
      </c>
      <c r="J413" s="24" t="s">
        <v>200</v>
      </c>
      <c r="K413" s="21" t="s">
        <v>201</v>
      </c>
      <c r="L413" s="25" t="s">
        <v>202</v>
      </c>
      <c r="M413" s="26" t="s">
        <v>28</v>
      </c>
      <c r="N413" s="24" t="s">
        <v>185</v>
      </c>
      <c r="O413" s="24" t="s">
        <v>195</v>
      </c>
      <c r="P413" s="27"/>
      <c r="Q413" s="27"/>
      <c r="R413" s="28" t="s">
        <v>203</v>
      </c>
      <c r="S413" s="8" t="s">
        <v>204</v>
      </c>
      <c r="T413" s="29" t="s">
        <v>189</v>
      </c>
      <c r="U413" s="24"/>
    </row>
    <row r="414" hidden="1">
      <c r="A414" s="30">
        <v>7.290000174099E12</v>
      </c>
      <c r="B414" s="20" t="s">
        <v>5214</v>
      </c>
      <c r="C414" s="21">
        <v>0.15</v>
      </c>
      <c r="D414" s="21">
        <v>0.23</v>
      </c>
      <c r="E414" s="21">
        <v>0.035</v>
      </c>
      <c r="F414" s="22">
        <v>9.0</v>
      </c>
      <c r="G414" s="23"/>
      <c r="H414" s="32" t="s">
        <v>1164</v>
      </c>
      <c r="I414" s="21" t="s">
        <v>5212</v>
      </c>
      <c r="J414" s="24" t="s">
        <v>206</v>
      </c>
      <c r="K414" s="21" t="s">
        <v>207</v>
      </c>
      <c r="L414" s="25" t="s">
        <v>208</v>
      </c>
      <c r="M414" s="26" t="s">
        <v>37</v>
      </c>
      <c r="N414" s="24" t="s">
        <v>185</v>
      </c>
      <c r="O414" s="24" t="s">
        <v>195</v>
      </c>
      <c r="P414" s="27"/>
      <c r="Q414" s="27"/>
      <c r="R414" s="28" t="s">
        <v>209</v>
      </c>
      <c r="S414" s="8" t="s">
        <v>210</v>
      </c>
      <c r="T414" s="29" t="e">
        <v>#N/A</v>
      </c>
      <c r="U414" s="24"/>
    </row>
    <row r="415" hidden="1">
      <c r="A415" s="30">
        <v>7.290008753883E12</v>
      </c>
      <c r="B415" s="20" t="s">
        <v>5215</v>
      </c>
      <c r="C415" s="21">
        <v>0.15</v>
      </c>
      <c r="D415" s="21">
        <v>0.23</v>
      </c>
      <c r="E415" s="21">
        <v>0.035</v>
      </c>
      <c r="F415" s="22">
        <v>9.0</v>
      </c>
      <c r="G415" s="23"/>
      <c r="H415" s="32" t="s">
        <v>1164</v>
      </c>
      <c r="I415" s="21" t="s">
        <v>5212</v>
      </c>
      <c r="J415" s="24" t="s">
        <v>213</v>
      </c>
      <c r="K415" s="21" t="s">
        <v>214</v>
      </c>
      <c r="L415" s="25" t="s">
        <v>215</v>
      </c>
      <c r="M415" s="26" t="s">
        <v>37</v>
      </c>
      <c r="N415" s="24" t="s">
        <v>185</v>
      </c>
      <c r="O415" s="24" t="s">
        <v>195</v>
      </c>
      <c r="P415" s="27"/>
      <c r="Q415" s="27"/>
      <c r="R415" s="28" t="s">
        <v>216</v>
      </c>
      <c r="S415" s="8" t="s">
        <v>217</v>
      </c>
      <c r="T415" s="29" t="e">
        <v>#N/A</v>
      </c>
      <c r="U415" s="24"/>
    </row>
    <row r="416" hidden="1">
      <c r="A416" s="30">
        <v>7.290107944243E12</v>
      </c>
      <c r="B416" s="20" t="s">
        <v>5216</v>
      </c>
      <c r="C416" s="21">
        <v>0.15</v>
      </c>
      <c r="D416" s="21">
        <v>0.23</v>
      </c>
      <c r="E416" s="21">
        <v>0.035</v>
      </c>
      <c r="F416" s="22">
        <v>9.0</v>
      </c>
      <c r="G416" s="23"/>
      <c r="H416" s="32" t="s">
        <v>1164</v>
      </c>
      <c r="I416" s="21" t="s">
        <v>5212</v>
      </c>
      <c r="J416" s="24" t="s">
        <v>219</v>
      </c>
      <c r="K416" s="20" t="s">
        <v>220</v>
      </c>
      <c r="L416" s="25" t="s">
        <v>221</v>
      </c>
      <c r="M416" s="26" t="s">
        <v>37</v>
      </c>
      <c r="N416" s="24"/>
      <c r="O416" s="24"/>
      <c r="P416" s="27"/>
      <c r="Q416" s="27"/>
      <c r="R416" s="31"/>
      <c r="S416" s="33"/>
      <c r="T416" s="29"/>
      <c r="U416" s="24"/>
    </row>
    <row r="417" hidden="1">
      <c r="A417" s="30">
        <v>7.290000181103E12</v>
      </c>
      <c r="B417" s="20" t="s">
        <v>5217</v>
      </c>
      <c r="C417" s="21">
        <v>0.24</v>
      </c>
      <c r="D417" s="21">
        <v>0.09</v>
      </c>
      <c r="E417" s="21">
        <v>0.03</v>
      </c>
      <c r="F417" s="22">
        <v>10.0</v>
      </c>
      <c r="G417" s="23"/>
      <c r="H417" s="32" t="s">
        <v>1164</v>
      </c>
      <c r="I417" s="21" t="s">
        <v>5212</v>
      </c>
      <c r="J417" s="24" t="s">
        <v>1182</v>
      </c>
      <c r="K417" s="21" t="s">
        <v>1183</v>
      </c>
      <c r="L417" s="25" t="s">
        <v>1184</v>
      </c>
      <c r="M417" s="26" t="s">
        <v>37</v>
      </c>
      <c r="N417" s="24" t="s">
        <v>501</v>
      </c>
      <c r="O417" s="24" t="s">
        <v>502</v>
      </c>
      <c r="P417" s="27"/>
      <c r="Q417" s="27"/>
      <c r="R417" s="31" t="s">
        <v>1185</v>
      </c>
      <c r="S417" s="33" t="s">
        <v>1186</v>
      </c>
      <c r="T417" s="29" t="e">
        <v>#N/A</v>
      </c>
      <c r="U417" s="24"/>
    </row>
    <row r="418" hidden="1">
      <c r="A418" s="30">
        <v>7.290005199622E12</v>
      </c>
      <c r="B418" s="20" t="s">
        <v>5218</v>
      </c>
      <c r="C418" s="21">
        <v>0.24</v>
      </c>
      <c r="D418" s="21">
        <v>0.09</v>
      </c>
      <c r="E418" s="21">
        <v>0.03</v>
      </c>
      <c r="F418" s="22">
        <v>10.0</v>
      </c>
      <c r="G418" s="23"/>
      <c r="H418" s="32" t="s">
        <v>1164</v>
      </c>
      <c r="I418" s="21" t="s">
        <v>5212</v>
      </c>
      <c r="J418" s="24" t="s">
        <v>1176</v>
      </c>
      <c r="K418" s="21" t="s">
        <v>1177</v>
      </c>
      <c r="L418" s="38" t="s">
        <v>1178</v>
      </c>
      <c r="M418" s="26" t="s">
        <v>37</v>
      </c>
      <c r="N418" s="24" t="s">
        <v>501</v>
      </c>
      <c r="O418" s="24" t="s">
        <v>502</v>
      </c>
      <c r="P418" s="27"/>
      <c r="Q418" s="27"/>
      <c r="R418" s="31" t="s">
        <v>1179</v>
      </c>
      <c r="S418" s="33" t="s">
        <v>1180</v>
      </c>
      <c r="T418" s="29" t="e">
        <v>#N/A</v>
      </c>
      <c r="U418" s="24"/>
    </row>
    <row r="419" hidden="1">
      <c r="A419" s="30">
        <v>7.290112336637E12</v>
      </c>
      <c r="B419" s="20" t="s">
        <v>5219</v>
      </c>
      <c r="C419" s="21">
        <v>0.12</v>
      </c>
      <c r="D419" s="21">
        <v>0.19</v>
      </c>
      <c r="E419" s="21">
        <v>0.015</v>
      </c>
      <c r="F419" s="22">
        <v>20.0</v>
      </c>
      <c r="G419" s="23"/>
      <c r="H419" s="32" t="s">
        <v>1164</v>
      </c>
      <c r="I419" s="21" t="s">
        <v>5212</v>
      </c>
      <c r="J419" s="24" t="s">
        <v>2914</v>
      </c>
      <c r="K419" s="21" t="s">
        <v>2915</v>
      </c>
      <c r="L419" s="25" t="s">
        <v>2916</v>
      </c>
      <c r="M419" s="26" t="s">
        <v>28</v>
      </c>
      <c r="N419" s="24" t="s">
        <v>2611</v>
      </c>
      <c r="O419" s="24" t="s">
        <v>2886</v>
      </c>
      <c r="P419" s="27"/>
      <c r="Q419" s="27"/>
      <c r="R419" s="31" t="s">
        <v>2917</v>
      </c>
      <c r="S419" s="8" t="s">
        <v>2918</v>
      </c>
      <c r="T419" s="29" t="s">
        <v>2862</v>
      </c>
      <c r="U419" s="24"/>
    </row>
    <row r="420" hidden="1">
      <c r="A420" s="30">
        <v>7.290112336644E12</v>
      </c>
      <c r="B420" s="20" t="s">
        <v>5220</v>
      </c>
      <c r="C420" s="21">
        <v>0.12</v>
      </c>
      <c r="D420" s="21">
        <v>0.19</v>
      </c>
      <c r="E420" s="21">
        <v>0.015</v>
      </c>
      <c r="F420" s="22">
        <v>20.0</v>
      </c>
      <c r="G420" s="23"/>
      <c r="H420" s="32" t="s">
        <v>1164</v>
      </c>
      <c r="I420" s="21" t="s">
        <v>5212</v>
      </c>
      <c r="J420" s="24" t="s">
        <v>2920</v>
      </c>
      <c r="K420" s="21" t="s">
        <v>2921</v>
      </c>
      <c r="L420" s="25" t="s">
        <v>2922</v>
      </c>
      <c r="M420" s="26" t="s">
        <v>28</v>
      </c>
      <c r="N420" s="24" t="s">
        <v>2611</v>
      </c>
      <c r="O420" s="24" t="s">
        <v>2886</v>
      </c>
      <c r="P420" s="27"/>
      <c r="Q420" s="27"/>
      <c r="R420" s="28" t="s">
        <v>2923</v>
      </c>
      <c r="S420" s="8" t="s">
        <v>2924</v>
      </c>
      <c r="T420" s="29" t="s">
        <v>2862</v>
      </c>
      <c r="U420" s="24"/>
    </row>
    <row r="421" hidden="1">
      <c r="A421" s="30">
        <v>7.290112337481E12</v>
      </c>
      <c r="B421" s="20" t="s">
        <v>5221</v>
      </c>
      <c r="C421" s="21">
        <v>0.12</v>
      </c>
      <c r="D421" s="21">
        <v>0.19</v>
      </c>
      <c r="E421" s="21">
        <v>0.015</v>
      </c>
      <c r="F421" s="22">
        <v>20.0</v>
      </c>
      <c r="G421" s="23"/>
      <c r="H421" s="32" t="s">
        <v>1164</v>
      </c>
      <c r="I421" s="21" t="s">
        <v>5212</v>
      </c>
      <c r="J421" s="24" t="s">
        <v>2908</v>
      </c>
      <c r="K421" s="21" t="s">
        <v>2909</v>
      </c>
      <c r="L421" s="25" t="s">
        <v>2910</v>
      </c>
      <c r="M421" s="26" t="s">
        <v>28</v>
      </c>
      <c r="N421" s="24" t="s">
        <v>2611</v>
      </c>
      <c r="O421" s="24" t="s">
        <v>2886</v>
      </c>
      <c r="P421" s="27"/>
      <c r="Q421" s="27"/>
      <c r="R421" s="28" t="s">
        <v>2911</v>
      </c>
      <c r="S421" s="8" t="s">
        <v>2912</v>
      </c>
      <c r="T421" s="29" t="s">
        <v>2862</v>
      </c>
      <c r="U421" s="24"/>
    </row>
    <row r="422" hidden="1">
      <c r="A422" s="30">
        <v>7.290112336651E12</v>
      </c>
      <c r="B422" s="20" t="s">
        <v>5222</v>
      </c>
      <c r="C422" s="21">
        <v>0.12</v>
      </c>
      <c r="D422" s="21">
        <v>0.19</v>
      </c>
      <c r="E422" s="21">
        <v>0.015</v>
      </c>
      <c r="F422" s="22">
        <v>20.0</v>
      </c>
      <c r="G422" s="23"/>
      <c r="H422" s="32" t="s">
        <v>1164</v>
      </c>
      <c r="I422" s="21" t="s">
        <v>5212</v>
      </c>
      <c r="J422" s="24" t="s">
        <v>2902</v>
      </c>
      <c r="K422" s="21" t="s">
        <v>2903</v>
      </c>
      <c r="L422" s="25" t="s">
        <v>2904</v>
      </c>
      <c r="M422" s="26" t="s">
        <v>28</v>
      </c>
      <c r="N422" s="24" t="s">
        <v>2611</v>
      </c>
      <c r="O422" s="24" t="s">
        <v>2886</v>
      </c>
      <c r="P422" s="27"/>
      <c r="Q422" s="27"/>
      <c r="R422" s="28" t="s">
        <v>2905</v>
      </c>
      <c r="S422" s="8" t="s">
        <v>2906</v>
      </c>
      <c r="T422" s="29" t="s">
        <v>2862</v>
      </c>
      <c r="U422" s="24"/>
    </row>
    <row r="423" hidden="1">
      <c r="A423" s="30">
        <v>7.290112337474E12</v>
      </c>
      <c r="B423" s="20" t="s">
        <v>5223</v>
      </c>
      <c r="C423" s="21">
        <v>0.12</v>
      </c>
      <c r="D423" s="21">
        <v>0.19</v>
      </c>
      <c r="E423" s="21">
        <v>0.015</v>
      </c>
      <c r="F423" s="22">
        <v>20.0</v>
      </c>
      <c r="G423" s="23"/>
      <c r="H423" s="32" t="s">
        <v>1164</v>
      </c>
      <c r="I423" s="21" t="s">
        <v>5212</v>
      </c>
      <c r="J423" s="24" t="s">
        <v>2896</v>
      </c>
      <c r="K423" s="21" t="s">
        <v>2897</v>
      </c>
      <c r="L423" s="25" t="s">
        <v>2898</v>
      </c>
      <c r="M423" s="26" t="s">
        <v>28</v>
      </c>
      <c r="N423" s="24" t="s">
        <v>2611</v>
      </c>
      <c r="O423" s="24" t="s">
        <v>2886</v>
      </c>
      <c r="P423" s="27"/>
      <c r="Q423" s="27"/>
      <c r="R423" s="28" t="s">
        <v>2899</v>
      </c>
      <c r="S423" s="33" t="s">
        <v>2900</v>
      </c>
      <c r="T423" s="29" t="s">
        <v>2862</v>
      </c>
      <c r="U423" s="24"/>
    </row>
    <row r="424" hidden="1">
      <c r="A424" s="30">
        <v>7.290100853689E12</v>
      </c>
      <c r="B424" s="20" t="s">
        <v>5224</v>
      </c>
      <c r="C424" s="21">
        <v>0.28</v>
      </c>
      <c r="D424" s="21">
        <v>0.125</v>
      </c>
      <c r="E424" s="21">
        <v>0.03</v>
      </c>
      <c r="F424" s="22">
        <v>10.0</v>
      </c>
      <c r="G424" s="23"/>
      <c r="H424" s="32" t="s">
        <v>1164</v>
      </c>
      <c r="I424" s="21" t="s">
        <v>5212</v>
      </c>
      <c r="J424" s="24" t="s">
        <v>1211</v>
      </c>
      <c r="K424" s="21" t="s">
        <v>1212</v>
      </c>
      <c r="L424" s="25" t="s">
        <v>1213</v>
      </c>
      <c r="M424" s="26" t="s">
        <v>28</v>
      </c>
      <c r="N424" s="24" t="s">
        <v>1194</v>
      </c>
      <c r="O424" s="24" t="s">
        <v>1195</v>
      </c>
      <c r="P424" s="27"/>
      <c r="Q424" s="27"/>
      <c r="R424" s="28" t="s">
        <v>1214</v>
      </c>
      <c r="S424" s="8" t="s">
        <v>1215</v>
      </c>
      <c r="T424" s="29" t="s">
        <v>1198</v>
      </c>
      <c r="U424" s="24"/>
    </row>
    <row r="425" hidden="1">
      <c r="A425" s="30">
        <v>7.290112345332E12</v>
      </c>
      <c r="B425" s="20" t="s">
        <v>5225</v>
      </c>
      <c r="C425" s="21">
        <v>0.27</v>
      </c>
      <c r="D425" s="21">
        <v>0.115</v>
      </c>
      <c r="E425" s="21">
        <v>0.045</v>
      </c>
      <c r="F425" s="22">
        <v>7.0</v>
      </c>
      <c r="G425" s="23"/>
      <c r="H425" s="32" t="s">
        <v>1164</v>
      </c>
      <c r="I425" s="21" t="s">
        <v>5212</v>
      </c>
      <c r="J425" s="24" t="s">
        <v>1200</v>
      </c>
      <c r="K425" s="21" t="s">
        <v>1201</v>
      </c>
      <c r="L425" s="25" t="s">
        <v>1202</v>
      </c>
      <c r="M425" s="26" t="s">
        <v>28</v>
      </c>
      <c r="N425" s="24" t="s">
        <v>1194</v>
      </c>
      <c r="O425" s="24" t="s">
        <v>1203</v>
      </c>
      <c r="P425" s="27"/>
      <c r="Q425" s="27"/>
      <c r="R425" s="28" t="s">
        <v>1204</v>
      </c>
      <c r="S425" s="8" t="s">
        <v>1205</v>
      </c>
      <c r="T425" s="29" t="s">
        <v>1198</v>
      </c>
      <c r="U425" s="24"/>
    </row>
    <row r="426" hidden="1">
      <c r="A426" s="30">
        <v>7.290110564513E12</v>
      </c>
      <c r="B426" s="20" t="s">
        <v>5226</v>
      </c>
      <c r="C426" s="21">
        <v>0.27</v>
      </c>
      <c r="D426" s="21">
        <v>0.115</v>
      </c>
      <c r="E426" s="21">
        <v>0.045</v>
      </c>
      <c r="F426" s="22">
        <v>7.0</v>
      </c>
      <c r="G426" s="23"/>
      <c r="H426" s="32" t="s">
        <v>1164</v>
      </c>
      <c r="I426" s="21" t="s">
        <v>5212</v>
      </c>
      <c r="J426" s="24" t="s">
        <v>1207</v>
      </c>
      <c r="K426" s="20" t="s">
        <v>1208</v>
      </c>
      <c r="L426" s="25" t="s">
        <v>1209</v>
      </c>
      <c r="M426" s="26" t="s">
        <v>37</v>
      </c>
      <c r="N426" s="24"/>
      <c r="O426" s="24"/>
      <c r="P426" s="27"/>
      <c r="Q426" s="27"/>
      <c r="R426" s="28"/>
      <c r="S426" s="8"/>
      <c r="T426" s="29"/>
      <c r="U426" s="24"/>
    </row>
    <row r="427" hidden="1">
      <c r="A427" s="30">
        <v>7.290000174723E12</v>
      </c>
      <c r="B427" s="20" t="s">
        <v>5227</v>
      </c>
      <c r="C427" s="21">
        <v>0.085</v>
      </c>
      <c r="D427" s="21">
        <v>0.14</v>
      </c>
      <c r="E427" s="21">
        <v>0.09999999</v>
      </c>
      <c r="F427" s="22">
        <v>3.0</v>
      </c>
      <c r="G427" s="23"/>
      <c r="H427" s="32" t="s">
        <v>1164</v>
      </c>
      <c r="I427" s="21" t="s">
        <v>5212</v>
      </c>
      <c r="J427" s="24" t="s">
        <v>1166</v>
      </c>
      <c r="K427" s="21" t="s">
        <v>1167</v>
      </c>
      <c r="L427" s="25" t="s">
        <v>1168</v>
      </c>
      <c r="M427" s="26" t="s">
        <v>37</v>
      </c>
      <c r="N427" s="24" t="s">
        <v>1169</v>
      </c>
      <c r="O427" s="24" t="s">
        <v>1169</v>
      </c>
      <c r="P427" s="27"/>
      <c r="Q427" s="27"/>
      <c r="R427" s="28" t="s">
        <v>1170</v>
      </c>
      <c r="S427" s="8" t="s">
        <v>1171</v>
      </c>
      <c r="T427" s="29" t="e">
        <v>#N/A</v>
      </c>
      <c r="U427" s="24"/>
    </row>
    <row r="428" hidden="1">
      <c r="A428" s="30">
        <v>7.290110111564E12</v>
      </c>
      <c r="B428" s="20" t="s">
        <v>3537</v>
      </c>
      <c r="C428" s="21">
        <v>0.07</v>
      </c>
      <c r="D428" s="21">
        <v>0.24</v>
      </c>
      <c r="E428" s="21">
        <v>0.07</v>
      </c>
      <c r="F428" s="22">
        <v>4.0</v>
      </c>
      <c r="G428" s="23"/>
      <c r="H428" s="24" t="s">
        <v>3538</v>
      </c>
      <c r="I428" s="21" t="s">
        <v>3539</v>
      </c>
      <c r="J428" s="24" t="s">
        <v>3540</v>
      </c>
      <c r="K428" s="21" t="s">
        <v>3541</v>
      </c>
      <c r="L428" s="25" t="s">
        <v>3542</v>
      </c>
      <c r="M428" s="26" t="s">
        <v>28</v>
      </c>
      <c r="N428" s="24" t="s">
        <v>340</v>
      </c>
      <c r="O428" s="24" t="s">
        <v>1645</v>
      </c>
      <c r="P428" s="27"/>
      <c r="Q428" s="27"/>
      <c r="R428" s="28" t="s">
        <v>3543</v>
      </c>
      <c r="S428" s="33" t="s">
        <v>3544</v>
      </c>
      <c r="T428" s="29" t="s">
        <v>3539</v>
      </c>
      <c r="U428" s="24"/>
    </row>
    <row r="429" hidden="1">
      <c r="A429" s="30">
        <v>7.290110111557E12</v>
      </c>
      <c r="B429" s="20" t="s">
        <v>3545</v>
      </c>
      <c r="C429" s="21">
        <v>0.07</v>
      </c>
      <c r="D429" s="21">
        <v>0.24</v>
      </c>
      <c r="E429" s="21">
        <v>0.07</v>
      </c>
      <c r="F429" s="22">
        <v>4.0</v>
      </c>
      <c r="G429" s="23"/>
      <c r="H429" s="24" t="s">
        <v>3538</v>
      </c>
      <c r="I429" s="21" t="s">
        <v>3539</v>
      </c>
      <c r="J429" s="24" t="s">
        <v>3546</v>
      </c>
      <c r="K429" s="21" t="s">
        <v>3547</v>
      </c>
      <c r="L429" s="25" t="s">
        <v>3548</v>
      </c>
      <c r="M429" s="26" t="s">
        <v>28</v>
      </c>
      <c r="N429" s="24" t="s">
        <v>340</v>
      </c>
      <c r="O429" s="24" t="s">
        <v>1645</v>
      </c>
      <c r="P429" s="27"/>
      <c r="Q429" s="27"/>
      <c r="R429" s="31" t="s">
        <v>3549</v>
      </c>
      <c r="S429" s="8" t="s">
        <v>3550</v>
      </c>
      <c r="T429" s="29" t="s">
        <v>3539</v>
      </c>
      <c r="U429" s="24"/>
    </row>
    <row r="430" hidden="1">
      <c r="A430" s="30">
        <v>7.290011018443E12</v>
      </c>
      <c r="B430" s="20" t="s">
        <v>1368</v>
      </c>
      <c r="C430" s="21">
        <v>0.057</v>
      </c>
      <c r="D430" s="21">
        <v>0.14</v>
      </c>
      <c r="E430" s="21">
        <v>0.057</v>
      </c>
      <c r="F430" s="22">
        <v>5.0</v>
      </c>
      <c r="G430" s="23"/>
      <c r="H430" s="24" t="s">
        <v>1345</v>
      </c>
      <c r="I430" s="21" t="s">
        <v>1346</v>
      </c>
      <c r="J430" s="24" t="s">
        <v>1369</v>
      </c>
      <c r="K430" s="21" t="s">
        <v>1370</v>
      </c>
      <c r="L430" s="25" t="s">
        <v>1371</v>
      </c>
      <c r="M430" s="26" t="s">
        <v>28</v>
      </c>
      <c r="N430" s="24" t="s">
        <v>1351</v>
      </c>
      <c r="O430" s="24" t="s">
        <v>1359</v>
      </c>
      <c r="P430" s="27"/>
      <c r="Q430" s="27"/>
      <c r="R430" s="28" t="s">
        <v>1372</v>
      </c>
      <c r="S430" s="8" t="s">
        <v>1373</v>
      </c>
      <c r="T430" s="29" t="s">
        <v>1346</v>
      </c>
      <c r="U430" s="24"/>
    </row>
    <row r="431" hidden="1">
      <c r="A431" s="30">
        <v>7.290005605895E12</v>
      </c>
      <c r="B431" s="20" t="s">
        <v>1355</v>
      </c>
      <c r="C431" s="21">
        <v>0.065</v>
      </c>
      <c r="D431" s="21">
        <v>0.24</v>
      </c>
      <c r="E431" s="21">
        <v>0.065</v>
      </c>
      <c r="F431" s="22">
        <v>5.0</v>
      </c>
      <c r="G431" s="23"/>
      <c r="H431" s="24" t="s">
        <v>1345</v>
      </c>
      <c r="I431" s="21" t="s">
        <v>1346</v>
      </c>
      <c r="J431" s="24" t="s">
        <v>1356</v>
      </c>
      <c r="K431" s="21" t="s">
        <v>1357</v>
      </c>
      <c r="L431" s="25" t="s">
        <v>1358</v>
      </c>
      <c r="M431" s="26" t="s">
        <v>37</v>
      </c>
      <c r="N431" s="24" t="s">
        <v>1351</v>
      </c>
      <c r="O431" s="24" t="s">
        <v>1359</v>
      </c>
      <c r="P431" s="27"/>
      <c r="Q431" s="27"/>
      <c r="R431" s="28" t="s">
        <v>1360</v>
      </c>
      <c r="S431" s="8" t="s">
        <v>1361</v>
      </c>
      <c r="T431" s="29" t="e">
        <v>#N/A</v>
      </c>
      <c r="U431" s="24"/>
    </row>
    <row r="432" hidden="1">
      <c r="A432" s="30">
        <v>7.290001594179E12</v>
      </c>
      <c r="B432" s="20" t="s">
        <v>1362</v>
      </c>
      <c r="C432" s="21">
        <v>0.065</v>
      </c>
      <c r="D432" s="21">
        <v>0.24</v>
      </c>
      <c r="E432" s="21">
        <v>0.065</v>
      </c>
      <c r="F432" s="22">
        <v>5.0</v>
      </c>
      <c r="G432" s="23"/>
      <c r="H432" s="24" t="s">
        <v>1345</v>
      </c>
      <c r="I432" s="21" t="s">
        <v>1346</v>
      </c>
      <c r="J432" s="24" t="s">
        <v>1363</v>
      </c>
      <c r="K432" s="21" t="s">
        <v>1364</v>
      </c>
      <c r="L432" s="25" t="s">
        <v>1365</v>
      </c>
      <c r="M432" s="26" t="s">
        <v>37</v>
      </c>
      <c r="N432" s="24" t="s">
        <v>1351</v>
      </c>
      <c r="O432" s="24" t="s">
        <v>1359</v>
      </c>
      <c r="P432" s="27"/>
      <c r="Q432" s="27"/>
      <c r="R432" s="28" t="s">
        <v>1366</v>
      </c>
      <c r="S432" s="8" t="s">
        <v>1367</v>
      </c>
      <c r="T432" s="29" t="e">
        <v>#N/A</v>
      </c>
      <c r="U432" s="24"/>
    </row>
    <row r="433" hidden="1">
      <c r="A433" s="30">
        <v>7.290003667109E12</v>
      </c>
      <c r="B433" s="20" t="s">
        <v>1374</v>
      </c>
      <c r="C433" s="21">
        <v>0.095</v>
      </c>
      <c r="D433" s="21">
        <v>0.333</v>
      </c>
      <c r="E433" s="21">
        <v>0.095</v>
      </c>
      <c r="F433" s="22">
        <v>3.0</v>
      </c>
      <c r="G433" s="23"/>
      <c r="H433" s="24" t="s">
        <v>1345</v>
      </c>
      <c r="I433" s="21" t="s">
        <v>1346</v>
      </c>
      <c r="J433" s="24" t="s">
        <v>1375</v>
      </c>
      <c r="K433" s="21" t="s">
        <v>1376</v>
      </c>
      <c r="L433" s="25" t="s">
        <v>1377</v>
      </c>
      <c r="M433" s="26" t="s">
        <v>37</v>
      </c>
      <c r="N433" s="24" t="s">
        <v>1351</v>
      </c>
      <c r="O433" s="24" t="s">
        <v>1352</v>
      </c>
      <c r="P433" s="27"/>
      <c r="Q433" s="27"/>
      <c r="R433" s="28" t="s">
        <v>1378</v>
      </c>
      <c r="S433" s="8" t="s">
        <v>1379</v>
      </c>
      <c r="T433" s="29" t="e">
        <v>#N/A</v>
      </c>
      <c r="U433" s="24"/>
    </row>
    <row r="434" hidden="1">
      <c r="A434" s="30">
        <v>7.290005605901E12</v>
      </c>
      <c r="B434" s="20" t="s">
        <v>1344</v>
      </c>
      <c r="C434" s="21">
        <v>0.095</v>
      </c>
      <c r="D434" s="21">
        <v>0.333</v>
      </c>
      <c r="E434" s="21">
        <v>0.095</v>
      </c>
      <c r="F434" s="22">
        <v>3.0</v>
      </c>
      <c r="G434" s="23"/>
      <c r="H434" s="24" t="s">
        <v>1345</v>
      </c>
      <c r="I434" s="21" t="s">
        <v>1346</v>
      </c>
      <c r="J434" s="24" t="s">
        <v>1348</v>
      </c>
      <c r="K434" s="21" t="s">
        <v>1349</v>
      </c>
      <c r="L434" s="25" t="s">
        <v>1350</v>
      </c>
      <c r="M434" s="26" t="s">
        <v>37</v>
      </c>
      <c r="N434" s="24" t="s">
        <v>1351</v>
      </c>
      <c r="O434" s="24" t="s">
        <v>1352</v>
      </c>
      <c r="P434" s="27"/>
      <c r="Q434" s="27"/>
      <c r="R434" s="28" t="s">
        <v>1353</v>
      </c>
      <c r="S434" s="8" t="s">
        <v>1354</v>
      </c>
      <c r="T434" s="29" t="e">
        <v>#N/A</v>
      </c>
      <c r="U434" s="24"/>
    </row>
    <row r="435" hidden="1">
      <c r="A435" s="30">
        <v>7.290000066431E12</v>
      </c>
      <c r="B435" s="20" t="s">
        <v>3529</v>
      </c>
      <c r="C435" s="21">
        <v>0.14</v>
      </c>
      <c r="D435" s="21">
        <v>0.18</v>
      </c>
      <c r="E435" s="21">
        <v>0.012</v>
      </c>
      <c r="F435" s="22">
        <v>25.0</v>
      </c>
      <c r="G435" s="23"/>
      <c r="H435" s="24" t="s">
        <v>3530</v>
      </c>
      <c r="I435" s="21" t="s">
        <v>3531</v>
      </c>
      <c r="J435" s="24" t="s">
        <v>3532</v>
      </c>
      <c r="K435" s="21" t="s">
        <v>3533</v>
      </c>
      <c r="L435" s="25" t="s">
        <v>3534</v>
      </c>
      <c r="M435" s="26" t="s">
        <v>37</v>
      </c>
      <c r="N435" s="24" t="s">
        <v>109</v>
      </c>
      <c r="O435" s="24" t="s">
        <v>3526</v>
      </c>
      <c r="P435" s="27"/>
      <c r="Q435" s="27"/>
      <c r="R435" s="28" t="s">
        <v>3535</v>
      </c>
      <c r="S435" s="8" t="s">
        <v>3536</v>
      </c>
      <c r="T435" s="29" t="e">
        <v>#N/A</v>
      </c>
      <c r="U435" s="21" t="s">
        <v>113</v>
      </c>
    </row>
    <row r="436" hidden="1">
      <c r="A436" s="30">
        <v>7.29010665626E12</v>
      </c>
      <c r="B436" s="20" t="s">
        <v>3520</v>
      </c>
      <c r="C436" s="21">
        <v>0.135</v>
      </c>
      <c r="D436" s="21">
        <v>0.2</v>
      </c>
      <c r="E436" s="21">
        <v>0.06</v>
      </c>
      <c r="F436" s="22">
        <v>5.0</v>
      </c>
      <c r="G436" s="23"/>
      <c r="H436" s="24" t="s">
        <v>3521</v>
      </c>
      <c r="I436" s="21" t="s">
        <v>3522</v>
      </c>
      <c r="J436" s="24" t="s">
        <v>3523</v>
      </c>
      <c r="K436" s="21" t="s">
        <v>3524</v>
      </c>
      <c r="L436" s="25" t="s">
        <v>3525</v>
      </c>
      <c r="M436" s="26" t="s">
        <v>28</v>
      </c>
      <c r="N436" s="24" t="s">
        <v>109</v>
      </c>
      <c r="O436" s="24" t="s">
        <v>3526</v>
      </c>
      <c r="P436" s="27"/>
      <c r="Q436" s="27"/>
      <c r="R436" s="28" t="s">
        <v>3527</v>
      </c>
      <c r="S436" s="8" t="s">
        <v>3525</v>
      </c>
      <c r="T436" s="29" t="s">
        <v>3528</v>
      </c>
      <c r="U436" s="21" t="s">
        <v>113</v>
      </c>
    </row>
    <row r="437" hidden="1">
      <c r="A437" s="30">
        <v>9.044400841E12</v>
      </c>
      <c r="B437" s="20" t="s">
        <v>3454</v>
      </c>
      <c r="C437" s="21">
        <v>0.08</v>
      </c>
      <c r="D437" s="21">
        <v>0.22</v>
      </c>
      <c r="E437" s="21">
        <v>0.05</v>
      </c>
      <c r="F437" s="22">
        <v>6.0</v>
      </c>
      <c r="G437" s="23"/>
      <c r="H437" s="24" t="s">
        <v>3455</v>
      </c>
      <c r="I437" s="21" t="s">
        <v>3456</v>
      </c>
      <c r="J437" s="24" t="s">
        <v>3457</v>
      </c>
      <c r="K437" s="21" t="s">
        <v>3458</v>
      </c>
      <c r="L437" s="25" t="s">
        <v>3459</v>
      </c>
      <c r="M437" s="26" t="s">
        <v>28</v>
      </c>
      <c r="N437" s="24" t="s">
        <v>3460</v>
      </c>
      <c r="O437" s="24" t="s">
        <v>3461</v>
      </c>
      <c r="P437" s="27"/>
      <c r="Q437" s="27"/>
      <c r="R437" s="28" t="s">
        <v>3462</v>
      </c>
      <c r="S437" s="8" t="s">
        <v>3463</v>
      </c>
      <c r="T437" s="29" t="s">
        <v>3456</v>
      </c>
      <c r="U437" s="24"/>
    </row>
    <row r="438" hidden="1">
      <c r="A438" s="30">
        <v>7.29011011349E12</v>
      </c>
      <c r="B438" s="20" t="s">
        <v>1629</v>
      </c>
      <c r="C438" s="21">
        <v>0.073</v>
      </c>
      <c r="D438" s="21">
        <v>0.205</v>
      </c>
      <c r="E438" s="21">
        <v>0.073</v>
      </c>
      <c r="F438" s="22">
        <v>4.0</v>
      </c>
      <c r="G438" s="23"/>
      <c r="H438" s="24" t="s">
        <v>1578</v>
      </c>
      <c r="I438" s="21" t="s">
        <v>1579</v>
      </c>
      <c r="J438" s="24" t="s">
        <v>1630</v>
      </c>
      <c r="K438" s="21" t="s">
        <v>1631</v>
      </c>
      <c r="L438" s="25" t="s">
        <v>1632</v>
      </c>
      <c r="M438" s="26" t="s">
        <v>28</v>
      </c>
      <c r="N438" s="24" t="s">
        <v>149</v>
      </c>
      <c r="O438" s="24" t="s">
        <v>150</v>
      </c>
      <c r="P438" s="27"/>
      <c r="Q438" s="27"/>
      <c r="R438" s="28" t="s">
        <v>1633</v>
      </c>
      <c r="S438" s="8" t="s">
        <v>1634</v>
      </c>
      <c r="T438" s="29" t="s">
        <v>1586</v>
      </c>
      <c r="U438" s="24"/>
    </row>
    <row r="439" hidden="1">
      <c r="A439" s="30">
        <v>7.290110110765E12</v>
      </c>
      <c r="B439" s="20" t="s">
        <v>1623</v>
      </c>
      <c r="C439" s="21">
        <v>0.073</v>
      </c>
      <c r="D439" s="21">
        <v>0.205</v>
      </c>
      <c r="E439" s="21">
        <v>0.073</v>
      </c>
      <c r="F439" s="22">
        <v>4.0</v>
      </c>
      <c r="G439" s="23"/>
      <c r="H439" s="24" t="s">
        <v>1578</v>
      </c>
      <c r="I439" s="21" t="s">
        <v>1579</v>
      </c>
      <c r="J439" s="24" t="s">
        <v>1624</v>
      </c>
      <c r="K439" s="21" t="s">
        <v>1625</v>
      </c>
      <c r="L439" s="25" t="s">
        <v>1626</v>
      </c>
      <c r="M439" s="26" t="s">
        <v>28</v>
      </c>
      <c r="N439" s="24" t="s">
        <v>149</v>
      </c>
      <c r="O439" s="24" t="s">
        <v>150</v>
      </c>
      <c r="P439" s="27"/>
      <c r="Q439" s="27"/>
      <c r="R439" s="28" t="s">
        <v>1627</v>
      </c>
      <c r="S439" s="8" t="s">
        <v>1628</v>
      </c>
      <c r="T439" s="29" t="s">
        <v>1586</v>
      </c>
      <c r="U439" s="24"/>
    </row>
    <row r="440" hidden="1">
      <c r="A440" s="30">
        <v>7.290110112141E12</v>
      </c>
      <c r="B440" s="20" t="s">
        <v>1617</v>
      </c>
      <c r="C440" s="21">
        <v>0.07</v>
      </c>
      <c r="D440" s="21">
        <v>0.205</v>
      </c>
      <c r="E440" s="21">
        <v>0.02</v>
      </c>
      <c r="F440" s="22">
        <v>15.0</v>
      </c>
      <c r="G440" s="23"/>
      <c r="H440" s="24" t="s">
        <v>1578</v>
      </c>
      <c r="I440" s="21" t="s">
        <v>1579</v>
      </c>
      <c r="J440" s="24" t="s">
        <v>1618</v>
      </c>
      <c r="K440" s="21" t="s">
        <v>1619</v>
      </c>
      <c r="L440" s="25" t="s">
        <v>1620</v>
      </c>
      <c r="M440" s="26" t="s">
        <v>28</v>
      </c>
      <c r="N440" s="24" t="s">
        <v>149</v>
      </c>
      <c r="O440" s="24" t="s">
        <v>150</v>
      </c>
      <c r="P440" s="27"/>
      <c r="Q440" s="27"/>
      <c r="R440" s="28" t="s">
        <v>1621</v>
      </c>
      <c r="S440" s="8" t="s">
        <v>1622</v>
      </c>
      <c r="T440" s="29" t="s">
        <v>1586</v>
      </c>
      <c r="U440" s="24"/>
    </row>
    <row r="441" hidden="1">
      <c r="A441" s="30">
        <v>7.290011018191E12</v>
      </c>
      <c r="B441" s="20" t="s">
        <v>1611</v>
      </c>
      <c r="C441" s="21">
        <v>0.073</v>
      </c>
      <c r="D441" s="21">
        <v>0.205</v>
      </c>
      <c r="E441" s="21">
        <v>0.02</v>
      </c>
      <c r="F441" s="22">
        <v>15.0</v>
      </c>
      <c r="G441" s="23"/>
      <c r="H441" s="24" t="s">
        <v>1578</v>
      </c>
      <c r="I441" s="21" t="s">
        <v>1579</v>
      </c>
      <c r="J441" s="24" t="s">
        <v>1612</v>
      </c>
      <c r="K441" s="21" t="s">
        <v>1613</v>
      </c>
      <c r="L441" s="25" t="s">
        <v>1614</v>
      </c>
      <c r="M441" s="26" t="s">
        <v>28</v>
      </c>
      <c r="N441" s="24" t="s">
        <v>149</v>
      </c>
      <c r="O441" s="24" t="s">
        <v>150</v>
      </c>
      <c r="P441" s="27"/>
      <c r="Q441" s="27"/>
      <c r="R441" s="28" t="s">
        <v>1615</v>
      </c>
      <c r="S441" s="8" t="s">
        <v>1616</v>
      </c>
      <c r="T441" s="29" t="s">
        <v>1586</v>
      </c>
      <c r="U441" s="24"/>
    </row>
    <row r="442" hidden="1">
      <c r="A442" s="30">
        <v>7.290011018184E12</v>
      </c>
      <c r="B442" s="20" t="s">
        <v>1587</v>
      </c>
      <c r="C442" s="21">
        <v>0.073</v>
      </c>
      <c r="D442" s="21">
        <v>0.205</v>
      </c>
      <c r="E442" s="21">
        <v>0.02</v>
      </c>
      <c r="F442" s="22">
        <v>15.0</v>
      </c>
      <c r="G442" s="23"/>
      <c r="H442" s="24" t="s">
        <v>1578</v>
      </c>
      <c r="I442" s="21" t="s">
        <v>1579</v>
      </c>
      <c r="J442" s="24" t="s">
        <v>1588</v>
      </c>
      <c r="K442" s="21" t="s">
        <v>1589</v>
      </c>
      <c r="L442" s="25" t="s">
        <v>1590</v>
      </c>
      <c r="M442" s="26" t="s">
        <v>28</v>
      </c>
      <c r="N442" s="24" t="s">
        <v>149</v>
      </c>
      <c r="O442" s="24" t="s">
        <v>150</v>
      </c>
      <c r="P442" s="27"/>
      <c r="Q442" s="27"/>
      <c r="R442" s="28" t="s">
        <v>1591</v>
      </c>
      <c r="S442" s="8" t="s">
        <v>1592</v>
      </c>
      <c r="T442" s="29" t="s">
        <v>1586</v>
      </c>
      <c r="U442" s="24"/>
    </row>
    <row r="443" hidden="1">
      <c r="A443" s="30">
        <v>7.290011018214E12</v>
      </c>
      <c r="B443" s="20" t="s">
        <v>1602</v>
      </c>
      <c r="C443" s="21">
        <v>0.073</v>
      </c>
      <c r="D443" s="21">
        <v>0.205</v>
      </c>
      <c r="E443" s="21">
        <v>0.02</v>
      </c>
      <c r="F443" s="22">
        <v>15.0</v>
      </c>
      <c r="G443" s="23"/>
      <c r="H443" s="24" t="s">
        <v>1578</v>
      </c>
      <c r="I443" s="21" t="s">
        <v>1579</v>
      </c>
      <c r="J443" s="24" t="s">
        <v>1603</v>
      </c>
      <c r="K443" s="21" t="s">
        <v>1604</v>
      </c>
      <c r="L443" s="25" t="s">
        <v>1605</v>
      </c>
      <c r="M443" s="26" t="s">
        <v>28</v>
      </c>
      <c r="N443" s="24" t="s">
        <v>149</v>
      </c>
      <c r="O443" s="24" t="s">
        <v>150</v>
      </c>
      <c r="P443" s="27"/>
      <c r="Q443" s="27"/>
      <c r="R443" s="28" t="s">
        <v>1606</v>
      </c>
      <c r="S443" s="8" t="s">
        <v>1607</v>
      </c>
      <c r="T443" s="29" t="s">
        <v>1586</v>
      </c>
      <c r="U443" s="24"/>
    </row>
    <row r="444" hidden="1">
      <c r="A444" s="30">
        <v>7.290110113483E12</v>
      </c>
      <c r="B444" s="20" t="s">
        <v>1629</v>
      </c>
      <c r="C444" s="21">
        <v>0.09199999</v>
      </c>
      <c r="D444" s="21">
        <v>0.3</v>
      </c>
      <c r="E444" s="21">
        <v>0.09199999</v>
      </c>
      <c r="F444" s="22">
        <v>3.0</v>
      </c>
      <c r="G444" s="23"/>
      <c r="H444" s="24" t="s">
        <v>1578</v>
      </c>
      <c r="I444" s="21" t="s">
        <v>1579</v>
      </c>
      <c r="J444" s="24" t="s">
        <v>1630</v>
      </c>
      <c r="K444" s="21" t="s">
        <v>1631</v>
      </c>
      <c r="L444" s="25" t="s">
        <v>1635</v>
      </c>
      <c r="M444" s="26" t="s">
        <v>28</v>
      </c>
      <c r="N444" s="24" t="s">
        <v>149</v>
      </c>
      <c r="O444" s="24" t="s">
        <v>163</v>
      </c>
      <c r="P444" s="27"/>
      <c r="Q444" s="27"/>
      <c r="R444" s="28" t="s">
        <v>1636</v>
      </c>
      <c r="S444" s="8" t="s">
        <v>1637</v>
      </c>
      <c r="T444" s="29" t="s">
        <v>1586</v>
      </c>
      <c r="U444" s="24"/>
    </row>
    <row r="445" hidden="1">
      <c r="A445" s="30">
        <v>7.290011018283E12</v>
      </c>
      <c r="B445" s="20" t="s">
        <v>1587</v>
      </c>
      <c r="C445" s="21">
        <v>0.09199999</v>
      </c>
      <c r="D445" s="21">
        <v>0.3</v>
      </c>
      <c r="E445" s="21">
        <v>0.09199999</v>
      </c>
      <c r="F445" s="22">
        <v>3.0</v>
      </c>
      <c r="G445" s="23"/>
      <c r="H445" s="24" t="s">
        <v>1578</v>
      </c>
      <c r="I445" s="21" t="s">
        <v>1579</v>
      </c>
      <c r="J445" s="24" t="s">
        <v>1588</v>
      </c>
      <c r="K445" s="21" t="s">
        <v>1589</v>
      </c>
      <c r="L445" s="25" t="s">
        <v>1593</v>
      </c>
      <c r="M445" s="26" t="s">
        <v>28</v>
      </c>
      <c r="N445" s="24" t="s">
        <v>149</v>
      </c>
      <c r="O445" s="24" t="s">
        <v>163</v>
      </c>
      <c r="P445" s="27"/>
      <c r="Q445" s="27"/>
      <c r="R445" s="28" t="s">
        <v>1594</v>
      </c>
      <c r="S445" s="8" t="s">
        <v>1595</v>
      </c>
      <c r="T445" s="29" t="s">
        <v>1586</v>
      </c>
      <c r="U445" s="24"/>
    </row>
    <row r="446" hidden="1">
      <c r="A446" s="30">
        <v>7.290011018306E12</v>
      </c>
      <c r="B446" s="20" t="s">
        <v>1596</v>
      </c>
      <c r="C446" s="21">
        <v>0.09199999</v>
      </c>
      <c r="D446" s="21">
        <v>0.3</v>
      </c>
      <c r="E446" s="21">
        <v>0.09199999</v>
      </c>
      <c r="F446" s="22">
        <v>3.0</v>
      </c>
      <c r="G446" s="23"/>
      <c r="H446" s="24" t="s">
        <v>1578</v>
      </c>
      <c r="I446" s="21" t="s">
        <v>1579</v>
      </c>
      <c r="J446" s="24" t="s">
        <v>1597</v>
      </c>
      <c r="K446" s="21" t="s">
        <v>1598</v>
      </c>
      <c r="L446" s="25" t="s">
        <v>1599</v>
      </c>
      <c r="M446" s="26" t="s">
        <v>28</v>
      </c>
      <c r="N446" s="24" t="s">
        <v>149</v>
      </c>
      <c r="O446" s="24" t="s">
        <v>163</v>
      </c>
      <c r="P446" s="27"/>
      <c r="Q446" s="27"/>
      <c r="R446" s="31" t="s">
        <v>1600</v>
      </c>
      <c r="S446" s="8" t="s">
        <v>1601</v>
      </c>
      <c r="T446" s="29" t="s">
        <v>1586</v>
      </c>
      <c r="U446" s="24"/>
    </row>
    <row r="447" hidden="1">
      <c r="A447" s="30">
        <v>7.290011018252E12</v>
      </c>
      <c r="B447" s="20" t="s">
        <v>1602</v>
      </c>
      <c r="C447" s="21">
        <v>0.09199999</v>
      </c>
      <c r="D447" s="21">
        <v>0.3</v>
      </c>
      <c r="E447" s="21">
        <v>0.09199999</v>
      </c>
      <c r="F447" s="22">
        <v>3.0</v>
      </c>
      <c r="G447" s="23"/>
      <c r="H447" s="24" t="s">
        <v>1578</v>
      </c>
      <c r="I447" s="21" t="s">
        <v>1579</v>
      </c>
      <c r="J447" s="24" t="s">
        <v>1603</v>
      </c>
      <c r="K447" s="21" t="s">
        <v>1604</v>
      </c>
      <c r="L447" s="25" t="s">
        <v>1608</v>
      </c>
      <c r="M447" s="26" t="s">
        <v>28</v>
      </c>
      <c r="N447" s="24" t="s">
        <v>149</v>
      </c>
      <c r="O447" s="24" t="s">
        <v>163</v>
      </c>
      <c r="P447" s="27"/>
      <c r="Q447" s="27"/>
      <c r="R447" s="28" t="s">
        <v>1609</v>
      </c>
      <c r="S447" s="8" t="s">
        <v>1610</v>
      </c>
      <c r="T447" s="29" t="s">
        <v>1586</v>
      </c>
      <c r="U447" s="24"/>
    </row>
    <row r="448" hidden="1">
      <c r="A448" s="30">
        <v>7.29001101858E12</v>
      </c>
      <c r="B448" s="20" t="s">
        <v>1577</v>
      </c>
      <c r="C448" s="21">
        <v>0.09199999</v>
      </c>
      <c r="D448" s="21">
        <v>0.3</v>
      </c>
      <c r="E448" s="21">
        <v>0.09199999</v>
      </c>
      <c r="F448" s="22">
        <v>3.0</v>
      </c>
      <c r="G448" s="23"/>
      <c r="H448" s="24" t="s">
        <v>1578</v>
      </c>
      <c r="I448" s="21" t="s">
        <v>1579</v>
      </c>
      <c r="J448" s="24" t="s">
        <v>1581</v>
      </c>
      <c r="K448" s="21" t="s">
        <v>1582</v>
      </c>
      <c r="L448" s="25" t="s">
        <v>1583</v>
      </c>
      <c r="M448" s="26" t="s">
        <v>28</v>
      </c>
      <c r="N448" s="24" t="s">
        <v>149</v>
      </c>
      <c r="O448" s="24" t="s">
        <v>163</v>
      </c>
      <c r="P448" s="27"/>
      <c r="Q448" s="27"/>
      <c r="R448" s="31" t="s">
        <v>1584</v>
      </c>
      <c r="S448" s="8" t="s">
        <v>1585</v>
      </c>
      <c r="T448" s="29" t="s">
        <v>1586</v>
      </c>
      <c r="U448" s="24"/>
    </row>
    <row r="449" hidden="1">
      <c r="A449" s="30">
        <v>7.29011296566E12</v>
      </c>
      <c r="B449" s="20" t="s">
        <v>1389</v>
      </c>
      <c r="C449" s="21">
        <v>0.15</v>
      </c>
      <c r="D449" s="21">
        <v>0.175</v>
      </c>
      <c r="E449" s="21">
        <v>0.03</v>
      </c>
      <c r="F449" s="22">
        <v>10.0</v>
      </c>
      <c r="G449" s="23"/>
      <c r="H449" s="24" t="s">
        <v>1390</v>
      </c>
      <c r="I449" s="21" t="s">
        <v>1391</v>
      </c>
      <c r="J449" s="24" t="s">
        <v>1392</v>
      </c>
      <c r="K449" s="21" t="s">
        <v>1393</v>
      </c>
      <c r="L449" s="25" t="s">
        <v>1394</v>
      </c>
      <c r="M449" s="26" t="s">
        <v>28</v>
      </c>
      <c r="N449" s="24" t="s">
        <v>109</v>
      </c>
      <c r="O449" s="24" t="s">
        <v>1395</v>
      </c>
      <c r="P449" s="27"/>
      <c r="Q449" s="27"/>
      <c r="R449" s="28" t="s">
        <v>1396</v>
      </c>
      <c r="S449" s="8" t="s">
        <v>1394</v>
      </c>
      <c r="T449" s="29" t="s">
        <v>1391</v>
      </c>
      <c r="U449" s="21" t="s">
        <v>113</v>
      </c>
    </row>
    <row r="450" hidden="1">
      <c r="A450" s="30">
        <v>7.290112965684E12</v>
      </c>
      <c r="B450" s="20" t="s">
        <v>1402</v>
      </c>
      <c r="C450" s="21">
        <v>0.15</v>
      </c>
      <c r="D450" s="21">
        <v>0.175</v>
      </c>
      <c r="E450" s="21">
        <v>0.03</v>
      </c>
      <c r="F450" s="22">
        <v>10.0</v>
      </c>
      <c r="G450" s="23"/>
      <c r="H450" s="24" t="s">
        <v>1390</v>
      </c>
      <c r="I450" s="21" t="s">
        <v>1391</v>
      </c>
      <c r="J450" s="24" t="s">
        <v>1403</v>
      </c>
      <c r="K450" s="21" t="s">
        <v>1404</v>
      </c>
      <c r="L450" s="25" t="s">
        <v>1405</v>
      </c>
      <c r="M450" s="26" t="s">
        <v>28</v>
      </c>
      <c r="N450" s="24" t="s">
        <v>109</v>
      </c>
      <c r="O450" s="24" t="s">
        <v>1395</v>
      </c>
      <c r="P450" s="27"/>
      <c r="Q450" s="27"/>
      <c r="R450" s="28" t="s">
        <v>1406</v>
      </c>
      <c r="S450" s="8" t="s">
        <v>1405</v>
      </c>
      <c r="T450" s="29" t="s">
        <v>1391</v>
      </c>
      <c r="U450" s="21" t="s">
        <v>113</v>
      </c>
    </row>
    <row r="451" hidden="1">
      <c r="A451" s="30">
        <v>7.290112965707E12</v>
      </c>
      <c r="B451" s="20" t="s">
        <v>1397</v>
      </c>
      <c r="C451" s="21">
        <v>0.15</v>
      </c>
      <c r="D451" s="21">
        <v>0.175</v>
      </c>
      <c r="E451" s="21">
        <v>0.03</v>
      </c>
      <c r="F451" s="22">
        <v>10.0</v>
      </c>
      <c r="G451" s="23"/>
      <c r="H451" s="24" t="s">
        <v>1390</v>
      </c>
      <c r="I451" s="21" t="s">
        <v>1391</v>
      </c>
      <c r="J451" s="24" t="s">
        <v>1398</v>
      </c>
      <c r="K451" s="21" t="s">
        <v>1399</v>
      </c>
      <c r="L451" s="25" t="s">
        <v>1400</v>
      </c>
      <c r="M451" s="26" t="s">
        <v>28</v>
      </c>
      <c r="N451" s="24" t="s">
        <v>109</v>
      </c>
      <c r="O451" s="24" t="s">
        <v>1395</v>
      </c>
      <c r="P451" s="27"/>
      <c r="Q451" s="27"/>
      <c r="R451" s="28" t="s">
        <v>1401</v>
      </c>
      <c r="S451" s="8" t="s">
        <v>1400</v>
      </c>
      <c r="T451" s="29" t="s">
        <v>1391</v>
      </c>
      <c r="U451" s="21" t="s">
        <v>113</v>
      </c>
    </row>
    <row r="452" hidden="1">
      <c r="A452" s="30">
        <v>4120566.0</v>
      </c>
      <c r="B452" s="20" t="s">
        <v>3464</v>
      </c>
      <c r="C452" s="21">
        <v>0.09999999</v>
      </c>
      <c r="D452" s="21">
        <v>0.09</v>
      </c>
      <c r="E452" s="21">
        <v>0.075</v>
      </c>
      <c r="F452" s="22">
        <v>4.0</v>
      </c>
      <c r="G452" s="23"/>
      <c r="H452" s="24" t="s">
        <v>3465</v>
      </c>
      <c r="I452" s="21" t="s">
        <v>3466</v>
      </c>
      <c r="J452" s="24" t="s">
        <v>3467</v>
      </c>
      <c r="K452" s="21" t="s">
        <v>3468</v>
      </c>
      <c r="L452" s="25" t="s">
        <v>3469</v>
      </c>
      <c r="M452" s="26" t="s">
        <v>28</v>
      </c>
      <c r="N452" s="24" t="s">
        <v>3470</v>
      </c>
      <c r="O452" s="24" t="s">
        <v>3471</v>
      </c>
      <c r="P452" s="27"/>
      <c r="Q452" s="27"/>
      <c r="R452" s="28" t="s">
        <v>3472</v>
      </c>
      <c r="S452" s="8" t="s">
        <v>3473</v>
      </c>
      <c r="T452" s="29" t="s">
        <v>3466</v>
      </c>
      <c r="U452" s="24"/>
    </row>
    <row r="453" hidden="1">
      <c r="A453" s="30">
        <v>4120573.0</v>
      </c>
      <c r="B453" s="20" t="s">
        <v>3481</v>
      </c>
      <c r="C453" s="21">
        <v>0.09999999</v>
      </c>
      <c r="D453" s="21">
        <v>0.09</v>
      </c>
      <c r="E453" s="21">
        <v>0.075</v>
      </c>
      <c r="F453" s="22">
        <v>4.0</v>
      </c>
      <c r="G453" s="23"/>
      <c r="H453" s="24" t="s">
        <v>3465</v>
      </c>
      <c r="I453" s="21" t="s">
        <v>3466</v>
      </c>
      <c r="J453" s="24" t="s">
        <v>3482</v>
      </c>
      <c r="K453" s="21" t="s">
        <v>3483</v>
      </c>
      <c r="L453" s="25" t="s">
        <v>3484</v>
      </c>
      <c r="M453" s="26" t="s">
        <v>28</v>
      </c>
      <c r="N453" s="24" t="s">
        <v>3470</v>
      </c>
      <c r="O453" s="24" t="s">
        <v>3471</v>
      </c>
      <c r="P453" s="27"/>
      <c r="Q453" s="27"/>
      <c r="R453" s="31" t="s">
        <v>3485</v>
      </c>
      <c r="S453" s="33" t="s">
        <v>3486</v>
      </c>
      <c r="T453" s="29" t="s">
        <v>3466</v>
      </c>
      <c r="U453" s="24"/>
    </row>
    <row r="454" hidden="1">
      <c r="A454" s="30">
        <v>4120634.0</v>
      </c>
      <c r="B454" s="20" t="s">
        <v>3487</v>
      </c>
      <c r="C454" s="21">
        <v>0.09999999</v>
      </c>
      <c r="D454" s="21">
        <v>0.09</v>
      </c>
      <c r="E454" s="21">
        <v>0.09999999</v>
      </c>
      <c r="F454" s="22">
        <v>3.0</v>
      </c>
      <c r="G454" s="23"/>
      <c r="H454" s="24" t="s">
        <v>3465</v>
      </c>
      <c r="I454" s="21" t="s">
        <v>3466</v>
      </c>
      <c r="J454" s="24" t="s">
        <v>3488</v>
      </c>
      <c r="K454" s="21" t="s">
        <v>3489</v>
      </c>
      <c r="L454" s="25" t="s">
        <v>3490</v>
      </c>
      <c r="M454" s="26" t="s">
        <v>28</v>
      </c>
      <c r="N454" s="24" t="s">
        <v>3470</v>
      </c>
      <c r="O454" s="24" t="s">
        <v>3471</v>
      </c>
      <c r="P454" s="27"/>
      <c r="Q454" s="27"/>
      <c r="R454" s="31" t="s">
        <v>3491</v>
      </c>
      <c r="S454" s="33" t="s">
        <v>3492</v>
      </c>
      <c r="T454" s="29" t="s">
        <v>3466</v>
      </c>
      <c r="U454" s="24"/>
    </row>
    <row r="455" hidden="1">
      <c r="A455" s="30">
        <v>48437.0</v>
      </c>
      <c r="B455" s="20" t="s">
        <v>3499</v>
      </c>
      <c r="C455" s="21">
        <v>0.11</v>
      </c>
      <c r="D455" s="21">
        <v>0.09999999</v>
      </c>
      <c r="E455" s="21">
        <v>0.065</v>
      </c>
      <c r="F455" s="22">
        <v>5.0</v>
      </c>
      <c r="G455" s="23"/>
      <c r="H455" s="24" t="s">
        <v>3465</v>
      </c>
      <c r="I455" s="21" t="s">
        <v>3466</v>
      </c>
      <c r="J455" s="24" t="s">
        <v>3500</v>
      </c>
      <c r="K455" s="21" t="s">
        <v>3501</v>
      </c>
      <c r="L455" s="25" t="s">
        <v>3502</v>
      </c>
      <c r="M455" s="26" t="s">
        <v>28</v>
      </c>
      <c r="N455" s="24" t="s">
        <v>3470</v>
      </c>
      <c r="O455" s="24" t="s">
        <v>3503</v>
      </c>
      <c r="P455" s="27"/>
      <c r="Q455" s="27"/>
      <c r="R455" s="31" t="s">
        <v>3504</v>
      </c>
      <c r="S455" s="33" t="s">
        <v>3505</v>
      </c>
      <c r="T455" s="29" t="s">
        <v>3466</v>
      </c>
      <c r="U455" s="24"/>
    </row>
    <row r="456" hidden="1">
      <c r="A456" s="30">
        <v>4137809.0</v>
      </c>
      <c r="B456" s="20" t="s">
        <v>3493</v>
      </c>
      <c r="C456" s="21">
        <v>0.11</v>
      </c>
      <c r="D456" s="21">
        <v>0.09999999</v>
      </c>
      <c r="E456" s="21">
        <v>0.075</v>
      </c>
      <c r="F456" s="22">
        <v>4.0</v>
      </c>
      <c r="G456" s="23"/>
      <c r="H456" s="24" t="s">
        <v>3465</v>
      </c>
      <c r="I456" s="21" t="s">
        <v>3466</v>
      </c>
      <c r="J456" s="24" t="s">
        <v>3494</v>
      </c>
      <c r="K456" s="21" t="s">
        <v>3495</v>
      </c>
      <c r="L456" s="25" t="s">
        <v>3496</v>
      </c>
      <c r="M456" s="26" t="s">
        <v>28</v>
      </c>
      <c r="N456" s="24" t="s">
        <v>2311</v>
      </c>
      <c r="O456" s="24" t="s">
        <v>2312</v>
      </c>
      <c r="P456" s="27"/>
      <c r="Q456" s="27"/>
      <c r="R456" s="28" t="s">
        <v>3497</v>
      </c>
      <c r="S456" s="8" t="s">
        <v>3498</v>
      </c>
      <c r="T456" s="29" t="s">
        <v>3466</v>
      </c>
      <c r="U456" s="24"/>
    </row>
    <row r="457">
      <c r="A457" s="30">
        <v>5.201044009706E12</v>
      </c>
      <c r="B457" s="20" t="s">
        <v>3316</v>
      </c>
      <c r="C457" s="21">
        <v>0.12</v>
      </c>
      <c r="D457" s="21">
        <v>0.18</v>
      </c>
      <c r="E457" s="21">
        <v>0.04</v>
      </c>
      <c r="F457" s="22">
        <v>8.0</v>
      </c>
      <c r="G457" s="23"/>
      <c r="H457" s="24" t="s">
        <v>3317</v>
      </c>
      <c r="I457" s="21" t="s">
        <v>3318</v>
      </c>
      <c r="J457" s="24" t="s">
        <v>3319</v>
      </c>
      <c r="K457" s="21" t="s">
        <v>3320</v>
      </c>
      <c r="L457" s="25" t="s">
        <v>3321</v>
      </c>
      <c r="M457" s="26" t="s">
        <v>28</v>
      </c>
      <c r="N457" s="24" t="s">
        <v>109</v>
      </c>
      <c r="O457" s="24" t="s">
        <v>1395</v>
      </c>
      <c r="P457" s="27"/>
      <c r="Q457" s="27"/>
      <c r="R457" s="28" t="s">
        <v>3322</v>
      </c>
      <c r="S457" s="8" t="s">
        <v>3321</v>
      </c>
      <c r="T457" s="29" t="s">
        <v>3323</v>
      </c>
      <c r="U457" s="21" t="s">
        <v>1798</v>
      </c>
    </row>
    <row r="458" hidden="1">
      <c r="A458" s="30">
        <v>7.290018440193E12</v>
      </c>
      <c r="B458" s="20" t="s">
        <v>1407</v>
      </c>
      <c r="C458" s="21">
        <v>0.18</v>
      </c>
      <c r="D458" s="21">
        <v>0.215</v>
      </c>
      <c r="E458" s="21">
        <v>0.04</v>
      </c>
      <c r="F458" s="22">
        <v>8.0</v>
      </c>
      <c r="G458" s="23"/>
      <c r="H458" s="24" t="s">
        <v>1408</v>
      </c>
      <c r="I458" s="21" t="s">
        <v>1409</v>
      </c>
      <c r="J458" s="24" t="s">
        <v>1410</v>
      </c>
      <c r="K458" s="21" t="s">
        <v>1411</v>
      </c>
      <c r="L458" s="25" t="s">
        <v>1412</v>
      </c>
      <c r="M458" s="26" t="s">
        <v>28</v>
      </c>
      <c r="N458" s="24" t="s">
        <v>1413</v>
      </c>
      <c r="O458" s="24" t="s">
        <v>1414</v>
      </c>
      <c r="P458" s="27"/>
      <c r="Q458" s="27"/>
      <c r="R458" s="28" t="s">
        <v>1415</v>
      </c>
      <c r="S458" s="8" t="s">
        <v>1412</v>
      </c>
      <c r="T458" s="29" t="s">
        <v>1416</v>
      </c>
      <c r="U458" s="21" t="s">
        <v>32</v>
      </c>
    </row>
    <row r="459" hidden="1">
      <c r="A459" s="30">
        <v>7.290018440209E12</v>
      </c>
      <c r="B459" s="20" t="s">
        <v>1422</v>
      </c>
      <c r="C459" s="21">
        <v>0.18</v>
      </c>
      <c r="D459" s="21">
        <v>0.215</v>
      </c>
      <c r="E459" s="21">
        <v>0.04</v>
      </c>
      <c r="F459" s="22">
        <v>8.0</v>
      </c>
      <c r="G459" s="23"/>
      <c r="H459" s="24" t="s">
        <v>1408</v>
      </c>
      <c r="I459" s="21" t="s">
        <v>1409</v>
      </c>
      <c r="J459" s="24" t="s">
        <v>1423</v>
      </c>
      <c r="K459" s="21" t="s">
        <v>1424</v>
      </c>
      <c r="L459" s="25" t="s">
        <v>1425</v>
      </c>
      <c r="M459" s="26" t="s">
        <v>28</v>
      </c>
      <c r="N459" s="24" t="s">
        <v>1413</v>
      </c>
      <c r="O459" s="24" t="s">
        <v>1414</v>
      </c>
      <c r="P459" s="27"/>
      <c r="Q459" s="27"/>
      <c r="R459" s="28" t="s">
        <v>1426</v>
      </c>
      <c r="S459" s="8" t="s">
        <v>1425</v>
      </c>
      <c r="T459" s="29" t="s">
        <v>1416</v>
      </c>
      <c r="U459" s="21" t="s">
        <v>32</v>
      </c>
    </row>
    <row r="460" hidden="1">
      <c r="A460" s="30">
        <v>7.290017513775E12</v>
      </c>
      <c r="B460" s="20" t="s">
        <v>1417</v>
      </c>
      <c r="C460" s="21">
        <v>0.175</v>
      </c>
      <c r="D460" s="21">
        <v>0.215</v>
      </c>
      <c r="E460" s="21">
        <v>0.04</v>
      </c>
      <c r="F460" s="22">
        <v>8.0</v>
      </c>
      <c r="G460" s="23"/>
      <c r="H460" s="24" t="s">
        <v>1408</v>
      </c>
      <c r="I460" s="21" t="s">
        <v>1409</v>
      </c>
      <c r="J460" s="24" t="s">
        <v>1418</v>
      </c>
      <c r="K460" s="21" t="s">
        <v>1419</v>
      </c>
      <c r="L460" s="25" t="s">
        <v>1420</v>
      </c>
      <c r="M460" s="26" t="s">
        <v>28</v>
      </c>
      <c r="N460" s="24" t="s">
        <v>1413</v>
      </c>
      <c r="O460" s="24" t="s">
        <v>1414</v>
      </c>
      <c r="P460" s="27"/>
      <c r="Q460" s="27"/>
      <c r="R460" s="28" t="s">
        <v>1421</v>
      </c>
      <c r="S460" s="8" t="s">
        <v>1420</v>
      </c>
      <c r="T460" s="29" t="s">
        <v>1416</v>
      </c>
      <c r="U460" s="21" t="s">
        <v>32</v>
      </c>
    </row>
    <row r="461" hidden="1">
      <c r="A461" s="30">
        <v>7.290107954457E12</v>
      </c>
      <c r="B461" s="20" t="s">
        <v>1187</v>
      </c>
      <c r="C461" s="21">
        <v>0.28</v>
      </c>
      <c r="D461" s="21">
        <v>0.128</v>
      </c>
      <c r="E461" s="21">
        <v>0.03</v>
      </c>
      <c r="F461" s="22">
        <v>10.0</v>
      </c>
      <c r="G461" s="23"/>
      <c r="H461" s="24" t="s">
        <v>3385</v>
      </c>
      <c r="I461" s="21" t="s">
        <v>1189</v>
      </c>
      <c r="J461" s="24" t="s">
        <v>1191</v>
      </c>
      <c r="K461" s="21" t="s">
        <v>1192</v>
      </c>
      <c r="L461" s="25" t="s">
        <v>1193</v>
      </c>
      <c r="M461" s="26" t="s">
        <v>28</v>
      </c>
      <c r="N461" s="24" t="s">
        <v>1194</v>
      </c>
      <c r="O461" s="24" t="s">
        <v>1195</v>
      </c>
      <c r="P461" s="27"/>
      <c r="Q461" s="27"/>
      <c r="R461" s="28" t="s">
        <v>1196</v>
      </c>
      <c r="S461" s="8" t="s">
        <v>1197</v>
      </c>
      <c r="T461" s="29" t="s">
        <v>1198</v>
      </c>
      <c r="U461" s="24"/>
    </row>
    <row r="462" hidden="1">
      <c r="A462" s="30">
        <v>7.290112349262E12</v>
      </c>
      <c r="B462" s="20" t="s">
        <v>3126</v>
      </c>
      <c r="C462" s="21">
        <v>0.07</v>
      </c>
      <c r="D462" s="21">
        <v>0.105</v>
      </c>
      <c r="E462" s="21">
        <v>0.05</v>
      </c>
      <c r="F462" s="22">
        <v>6.0</v>
      </c>
      <c r="G462" s="23"/>
      <c r="H462" s="24" t="s">
        <v>3385</v>
      </c>
      <c r="I462" s="21" t="s">
        <v>2071</v>
      </c>
      <c r="J462" s="24" t="s">
        <v>3127</v>
      </c>
      <c r="K462" s="21" t="s">
        <v>3128</v>
      </c>
      <c r="L462" s="25" t="s">
        <v>3129</v>
      </c>
      <c r="M462" s="26" t="s">
        <v>28</v>
      </c>
      <c r="N462" s="24" t="s">
        <v>501</v>
      </c>
      <c r="O462" s="24" t="s">
        <v>729</v>
      </c>
      <c r="P462" s="27"/>
      <c r="Q462" s="27"/>
      <c r="R462" s="28" t="s">
        <v>3130</v>
      </c>
      <c r="S462" s="8" t="s">
        <v>3131</v>
      </c>
      <c r="T462" s="29" t="s">
        <v>2077</v>
      </c>
      <c r="U462" s="24"/>
    </row>
    <row r="463" hidden="1">
      <c r="A463" s="30">
        <v>7.2992357E7</v>
      </c>
      <c r="B463" s="20" t="s">
        <v>3393</v>
      </c>
      <c r="C463" s="21">
        <v>0.145</v>
      </c>
      <c r="D463" s="21">
        <v>0.035</v>
      </c>
      <c r="E463" s="21">
        <v>0.02</v>
      </c>
      <c r="F463" s="22">
        <v>15.0</v>
      </c>
      <c r="G463" s="23"/>
      <c r="H463" s="24" t="s">
        <v>3385</v>
      </c>
      <c r="I463" s="21" t="s">
        <v>3386</v>
      </c>
      <c r="J463" s="24" t="s">
        <v>3394</v>
      </c>
      <c r="K463" s="21" t="s">
        <v>3395</v>
      </c>
      <c r="L463" s="25" t="s">
        <v>3396</v>
      </c>
      <c r="M463" s="26" t="s">
        <v>28</v>
      </c>
      <c r="N463" s="24" t="s">
        <v>501</v>
      </c>
      <c r="O463" s="24" t="s">
        <v>502</v>
      </c>
      <c r="P463" s="27"/>
      <c r="Q463" s="27"/>
      <c r="R463" s="28" t="s">
        <v>3397</v>
      </c>
      <c r="S463" s="33" t="s">
        <v>3398</v>
      </c>
      <c r="T463" s="29" t="s">
        <v>3392</v>
      </c>
      <c r="U463" s="24"/>
    </row>
    <row r="464" hidden="1">
      <c r="A464" s="30">
        <v>7.2917893E7</v>
      </c>
      <c r="B464" s="20" t="s">
        <v>3408</v>
      </c>
      <c r="C464" s="21">
        <v>0.16</v>
      </c>
      <c r="D464" s="21">
        <v>0.035</v>
      </c>
      <c r="E464" s="21">
        <v>0.02</v>
      </c>
      <c r="F464" s="22">
        <v>15.0</v>
      </c>
      <c r="G464" s="23"/>
      <c r="H464" s="24" t="s">
        <v>3385</v>
      </c>
      <c r="I464" s="21" t="s">
        <v>3386</v>
      </c>
      <c r="J464" s="24" t="s">
        <v>3409</v>
      </c>
      <c r="K464" s="21" t="s">
        <v>3410</v>
      </c>
      <c r="L464" s="25" t="s">
        <v>3411</v>
      </c>
      <c r="M464" s="26" t="s">
        <v>28</v>
      </c>
      <c r="N464" s="24" t="s">
        <v>501</v>
      </c>
      <c r="O464" s="24" t="s">
        <v>502</v>
      </c>
      <c r="P464" s="27"/>
      <c r="Q464" s="27"/>
      <c r="R464" s="28" t="s">
        <v>3412</v>
      </c>
      <c r="S464" s="8" t="s">
        <v>3413</v>
      </c>
      <c r="T464" s="29" t="s">
        <v>3392</v>
      </c>
      <c r="U464" s="24"/>
    </row>
    <row r="465" hidden="1">
      <c r="A465" s="30">
        <v>7.2994061E7</v>
      </c>
      <c r="B465" s="20" t="s">
        <v>3414</v>
      </c>
      <c r="C465" s="21">
        <v>0.13</v>
      </c>
      <c r="D465" s="21">
        <v>0.045</v>
      </c>
      <c r="E465" s="21">
        <v>0.02</v>
      </c>
      <c r="F465" s="22">
        <v>15.0</v>
      </c>
      <c r="G465" s="23"/>
      <c r="H465" s="24" t="s">
        <v>3385</v>
      </c>
      <c r="I465" s="21" t="s">
        <v>3386</v>
      </c>
      <c r="J465" s="24" t="s">
        <v>3415</v>
      </c>
      <c r="K465" s="21" t="s">
        <v>3416</v>
      </c>
      <c r="L465" s="25" t="s">
        <v>3417</v>
      </c>
      <c r="M465" s="26" t="s">
        <v>28</v>
      </c>
      <c r="N465" s="24" t="s">
        <v>501</v>
      </c>
      <c r="O465" s="24" t="s">
        <v>502</v>
      </c>
      <c r="P465" s="27"/>
      <c r="Q465" s="27"/>
      <c r="R465" s="31" t="s">
        <v>3418</v>
      </c>
      <c r="S465" s="8" t="s">
        <v>3419</v>
      </c>
      <c r="T465" s="29" t="s">
        <v>3392</v>
      </c>
      <c r="U465" s="24"/>
    </row>
    <row r="466" hidden="1">
      <c r="A466" s="30">
        <v>7.290112358004E12</v>
      </c>
      <c r="B466" s="20" t="s">
        <v>3420</v>
      </c>
      <c r="C466" s="21">
        <v>0.16</v>
      </c>
      <c r="D466" s="21">
        <v>0.035</v>
      </c>
      <c r="E466" s="21">
        <v>0.018</v>
      </c>
      <c r="F466" s="22">
        <v>17.0</v>
      </c>
      <c r="G466" s="23"/>
      <c r="H466" s="24" t="s">
        <v>3385</v>
      </c>
      <c r="I466" s="21" t="s">
        <v>3386</v>
      </c>
      <c r="J466" s="24" t="s">
        <v>3421</v>
      </c>
      <c r="K466" s="21" t="s">
        <v>3422</v>
      </c>
      <c r="L466" s="25" t="s">
        <v>3423</v>
      </c>
      <c r="M466" s="26" t="s">
        <v>28</v>
      </c>
      <c r="N466" s="24" t="s">
        <v>501</v>
      </c>
      <c r="O466" s="24" t="s">
        <v>502</v>
      </c>
      <c r="P466" s="27"/>
      <c r="Q466" s="27"/>
      <c r="R466" s="28" t="s">
        <v>3424</v>
      </c>
      <c r="S466" s="8" t="s">
        <v>3425</v>
      </c>
      <c r="T466" s="29" t="s">
        <v>3392</v>
      </c>
      <c r="U466" s="24"/>
    </row>
    <row r="467" hidden="1">
      <c r="A467" s="30">
        <v>7.290112348234E12</v>
      </c>
      <c r="B467" s="20" t="s">
        <v>3384</v>
      </c>
      <c r="C467" s="21">
        <v>0.16</v>
      </c>
      <c r="D467" s="21">
        <v>0.035</v>
      </c>
      <c r="E467" s="21">
        <v>0.017</v>
      </c>
      <c r="F467" s="22">
        <v>18.0</v>
      </c>
      <c r="G467" s="23"/>
      <c r="H467" s="24" t="s">
        <v>3385</v>
      </c>
      <c r="I467" s="21" t="s">
        <v>3386</v>
      </c>
      <c r="J467" s="24" t="s">
        <v>3387</v>
      </c>
      <c r="K467" s="21" t="s">
        <v>3388</v>
      </c>
      <c r="L467" s="25" t="s">
        <v>3389</v>
      </c>
      <c r="M467" s="26" t="s">
        <v>28</v>
      </c>
      <c r="N467" s="24" t="s">
        <v>501</v>
      </c>
      <c r="O467" s="24" t="s">
        <v>502</v>
      </c>
      <c r="P467" s="27"/>
      <c r="Q467" s="27"/>
      <c r="R467" s="28" t="s">
        <v>3390</v>
      </c>
      <c r="S467" s="8" t="s">
        <v>3391</v>
      </c>
      <c r="T467" s="29" t="s">
        <v>3392</v>
      </c>
      <c r="U467" s="24"/>
    </row>
    <row r="468" hidden="1">
      <c r="A468" s="30">
        <v>7.290112348234E12</v>
      </c>
      <c r="B468" s="20" t="s">
        <v>3432</v>
      </c>
      <c r="C468" s="21">
        <v>0.16</v>
      </c>
      <c r="D468" s="21">
        <v>0.035</v>
      </c>
      <c r="E468" s="21">
        <v>0.017</v>
      </c>
      <c r="F468" s="22">
        <v>18.0</v>
      </c>
      <c r="G468" s="23"/>
      <c r="H468" s="24" t="s">
        <v>3385</v>
      </c>
      <c r="I468" s="21" t="s">
        <v>3386</v>
      </c>
      <c r="J468" s="24" t="s">
        <v>3433</v>
      </c>
      <c r="K468" s="21" t="s">
        <v>3434</v>
      </c>
      <c r="L468" s="25" t="s">
        <v>3435</v>
      </c>
      <c r="M468" s="26" t="s">
        <v>28</v>
      </c>
      <c r="N468" s="24" t="s">
        <v>501</v>
      </c>
      <c r="O468" s="24" t="s">
        <v>502</v>
      </c>
      <c r="P468" s="27"/>
      <c r="Q468" s="27"/>
      <c r="R468" s="28" t="s">
        <v>3436</v>
      </c>
      <c r="S468" s="8" t="s">
        <v>3437</v>
      </c>
      <c r="T468" s="29" t="s">
        <v>3392</v>
      </c>
      <c r="U468" s="24"/>
    </row>
    <row r="469" hidden="1">
      <c r="A469" s="30">
        <v>7.29011235035E12</v>
      </c>
      <c r="B469" s="20" t="s">
        <v>3426</v>
      </c>
      <c r="C469" s="21">
        <v>0.16</v>
      </c>
      <c r="D469" s="21">
        <v>0.035</v>
      </c>
      <c r="E469" s="21">
        <v>0.017</v>
      </c>
      <c r="F469" s="22">
        <v>18.0</v>
      </c>
      <c r="G469" s="23"/>
      <c r="H469" s="24" t="s">
        <v>3385</v>
      </c>
      <c r="I469" s="21" t="s">
        <v>3386</v>
      </c>
      <c r="J469" s="24" t="s">
        <v>3427</v>
      </c>
      <c r="K469" s="21" t="s">
        <v>3428</v>
      </c>
      <c r="L469" s="25" t="s">
        <v>3429</v>
      </c>
      <c r="M469" s="26" t="s">
        <v>28</v>
      </c>
      <c r="N469" s="24" t="s">
        <v>501</v>
      </c>
      <c r="O469" s="24" t="s">
        <v>502</v>
      </c>
      <c r="P469" s="27"/>
      <c r="Q469" s="27"/>
      <c r="R469" s="28" t="s">
        <v>3430</v>
      </c>
      <c r="S469" s="8" t="s">
        <v>3431</v>
      </c>
      <c r="T469" s="29" t="s">
        <v>3392</v>
      </c>
      <c r="U469" s="24"/>
    </row>
    <row r="470" hidden="1">
      <c r="A470" s="30">
        <v>7.290112332691E12</v>
      </c>
      <c r="B470" s="20" t="s">
        <v>5228</v>
      </c>
      <c r="C470" s="21">
        <v>0.265</v>
      </c>
      <c r="D470" s="21">
        <v>0.09</v>
      </c>
      <c r="E470" s="21">
        <v>0.03</v>
      </c>
      <c r="F470" s="22">
        <v>10.0</v>
      </c>
      <c r="G470" s="23"/>
      <c r="H470" s="24" t="s">
        <v>3385</v>
      </c>
      <c r="I470" s="21" t="s">
        <v>3386</v>
      </c>
      <c r="J470" s="24" t="s">
        <v>3402</v>
      </c>
      <c r="K470" s="21" t="s">
        <v>3403</v>
      </c>
      <c r="L470" s="25" t="s">
        <v>3404</v>
      </c>
      <c r="M470" s="26" t="s">
        <v>28</v>
      </c>
      <c r="N470" s="24" t="s">
        <v>2364</v>
      </c>
      <c r="O470" s="24" t="s">
        <v>3164</v>
      </c>
      <c r="P470" s="27"/>
      <c r="Q470" s="27"/>
      <c r="R470" s="28" t="s">
        <v>3405</v>
      </c>
      <c r="S470" s="8" t="s">
        <v>3406</v>
      </c>
      <c r="T470" s="29" t="s">
        <v>3407</v>
      </c>
      <c r="U470" s="24"/>
    </row>
    <row r="471" hidden="1">
      <c r="A471" s="30">
        <v>7.290010237548E12</v>
      </c>
      <c r="B471" s="20" t="s">
        <v>3350</v>
      </c>
      <c r="C471" s="21">
        <v>0.065</v>
      </c>
      <c r="D471" s="21">
        <v>0.24</v>
      </c>
      <c r="E471" s="21">
        <v>0.065</v>
      </c>
      <c r="F471" s="22">
        <v>5.0</v>
      </c>
      <c r="G471" s="23"/>
      <c r="H471" s="24" t="s">
        <v>3325</v>
      </c>
      <c r="I471" s="21" t="s">
        <v>3326</v>
      </c>
      <c r="J471" s="24" t="s">
        <v>3351</v>
      </c>
      <c r="K471" s="21" t="s">
        <v>3352</v>
      </c>
      <c r="L471" s="25" t="s">
        <v>3353</v>
      </c>
      <c r="M471" s="26" t="s">
        <v>28</v>
      </c>
      <c r="N471" s="24" t="s">
        <v>814</v>
      </c>
      <c r="O471" s="24" t="s">
        <v>840</v>
      </c>
      <c r="P471" s="27"/>
      <c r="Q471" s="27"/>
      <c r="R471" s="31" t="s">
        <v>3354</v>
      </c>
      <c r="S471" s="33" t="s">
        <v>3355</v>
      </c>
      <c r="T471" s="29" t="s">
        <v>3326</v>
      </c>
      <c r="U471" s="24"/>
    </row>
    <row r="472" hidden="1">
      <c r="A472" s="30">
        <v>7.290000135175E12</v>
      </c>
      <c r="B472" s="20" t="s">
        <v>3338</v>
      </c>
      <c r="C472" s="21">
        <v>0.057</v>
      </c>
      <c r="D472" s="21">
        <v>0.14</v>
      </c>
      <c r="E472" s="21">
        <v>0.057</v>
      </c>
      <c r="F472" s="22">
        <v>5.0</v>
      </c>
      <c r="G472" s="23"/>
      <c r="H472" s="24" t="s">
        <v>3325</v>
      </c>
      <c r="I472" s="21" t="s">
        <v>3326</v>
      </c>
      <c r="J472" s="24" t="s">
        <v>3339</v>
      </c>
      <c r="K472" s="21" t="s">
        <v>3340</v>
      </c>
      <c r="L472" s="25" t="s">
        <v>3341</v>
      </c>
      <c r="M472" s="26" t="s">
        <v>37</v>
      </c>
      <c r="N472" s="24" t="s">
        <v>814</v>
      </c>
      <c r="O472" s="24" t="s">
        <v>840</v>
      </c>
      <c r="P472" s="27"/>
      <c r="Q472" s="27"/>
      <c r="R472" s="31" t="s">
        <v>3342</v>
      </c>
      <c r="S472" s="33" t="s">
        <v>3343</v>
      </c>
      <c r="T472" s="29" t="e">
        <v>#N/A</v>
      </c>
      <c r="U472" s="24"/>
    </row>
    <row r="473" hidden="1">
      <c r="A473" s="30">
        <v>7.290008464406E12</v>
      </c>
      <c r="B473" s="20" t="s">
        <v>3356</v>
      </c>
      <c r="C473" s="21">
        <v>0.057</v>
      </c>
      <c r="D473" s="21">
        <v>0.14</v>
      </c>
      <c r="E473" s="21">
        <v>0.057</v>
      </c>
      <c r="F473" s="22">
        <v>5.0</v>
      </c>
      <c r="G473" s="23"/>
      <c r="H473" s="24" t="s">
        <v>3325</v>
      </c>
      <c r="I473" s="21" t="s">
        <v>3326</v>
      </c>
      <c r="J473" s="24" t="s">
        <v>3357</v>
      </c>
      <c r="K473" s="21" t="s">
        <v>3358</v>
      </c>
      <c r="L473" s="25" t="s">
        <v>3359</v>
      </c>
      <c r="M473" s="26" t="s">
        <v>37</v>
      </c>
      <c r="N473" s="24" t="s">
        <v>814</v>
      </c>
      <c r="O473" s="24" t="s">
        <v>840</v>
      </c>
      <c r="P473" s="27"/>
      <c r="Q473" s="27"/>
      <c r="R473" s="31" t="s">
        <v>3360</v>
      </c>
      <c r="S473" s="8" t="s">
        <v>3361</v>
      </c>
      <c r="T473" s="29" t="e">
        <v>#N/A</v>
      </c>
      <c r="U473" s="24"/>
    </row>
    <row r="474" hidden="1">
      <c r="A474" s="30">
        <v>7.290000433974E12</v>
      </c>
      <c r="B474" s="20" t="s">
        <v>3324</v>
      </c>
      <c r="C474" s="21">
        <v>0.08</v>
      </c>
      <c r="D474" s="21">
        <v>0.33</v>
      </c>
      <c r="E474" s="21">
        <v>0.08</v>
      </c>
      <c r="F474" s="22">
        <v>4.0</v>
      </c>
      <c r="G474" s="23"/>
      <c r="H474" s="24" t="s">
        <v>3325</v>
      </c>
      <c r="I474" s="21" t="s">
        <v>3326</v>
      </c>
      <c r="J474" s="24" t="s">
        <v>3327</v>
      </c>
      <c r="K474" s="21" t="s">
        <v>3328</v>
      </c>
      <c r="L474" s="25" t="s">
        <v>3329</v>
      </c>
      <c r="M474" s="26" t="s">
        <v>37</v>
      </c>
      <c r="N474" s="24" t="s">
        <v>814</v>
      </c>
      <c r="O474" s="24" t="s">
        <v>815</v>
      </c>
      <c r="P474" s="27"/>
      <c r="Q474" s="27"/>
      <c r="R474" s="31" t="s">
        <v>3330</v>
      </c>
      <c r="S474" s="33" t="s">
        <v>3331</v>
      </c>
      <c r="T474" s="29" t="e">
        <v>#N/A</v>
      </c>
      <c r="U474" s="24"/>
    </row>
    <row r="475" hidden="1">
      <c r="A475" s="30">
        <v>7.290000433684E12</v>
      </c>
      <c r="B475" s="20" t="s">
        <v>3344</v>
      </c>
      <c r="C475" s="21">
        <v>0.08</v>
      </c>
      <c r="D475" s="21">
        <v>0.33</v>
      </c>
      <c r="E475" s="21">
        <v>0.08</v>
      </c>
      <c r="F475" s="22">
        <v>4.0</v>
      </c>
      <c r="G475" s="23"/>
      <c r="H475" s="24" t="s">
        <v>3325</v>
      </c>
      <c r="I475" s="21" t="s">
        <v>3326</v>
      </c>
      <c r="J475" s="24" t="s">
        <v>3345</v>
      </c>
      <c r="K475" s="21" t="s">
        <v>3346</v>
      </c>
      <c r="L475" s="25" t="s">
        <v>3347</v>
      </c>
      <c r="M475" s="26" t="s">
        <v>37</v>
      </c>
      <c r="N475" s="24" t="s">
        <v>799</v>
      </c>
      <c r="O475" s="24" t="s">
        <v>815</v>
      </c>
      <c r="P475" s="27"/>
      <c r="Q475" s="27"/>
      <c r="R475" s="31" t="s">
        <v>3348</v>
      </c>
      <c r="S475" s="8" t="s">
        <v>3349</v>
      </c>
      <c r="T475" s="29" t="e">
        <v>#N/A</v>
      </c>
      <c r="U475" s="24"/>
    </row>
    <row r="476" hidden="1">
      <c r="A476" s="30">
        <v>7.290010237531E12</v>
      </c>
      <c r="B476" s="20" t="s">
        <v>3332</v>
      </c>
      <c r="C476" s="21">
        <v>0.065</v>
      </c>
      <c r="D476" s="21">
        <v>0.24</v>
      </c>
      <c r="E476" s="21">
        <v>0.065</v>
      </c>
      <c r="F476" s="22">
        <v>5.0</v>
      </c>
      <c r="G476" s="23"/>
      <c r="H476" s="24" t="s">
        <v>3325</v>
      </c>
      <c r="I476" s="21" t="s">
        <v>3326</v>
      </c>
      <c r="J476" s="24" t="s">
        <v>3333</v>
      </c>
      <c r="K476" s="21" t="s">
        <v>3334</v>
      </c>
      <c r="L476" s="25" t="s">
        <v>3335</v>
      </c>
      <c r="M476" s="26" t="s">
        <v>28</v>
      </c>
      <c r="N476" s="24" t="s">
        <v>799</v>
      </c>
      <c r="O476" s="24" t="s">
        <v>807</v>
      </c>
      <c r="P476" s="27"/>
      <c r="Q476" s="27"/>
      <c r="R476" s="28" t="s">
        <v>3336</v>
      </c>
      <c r="S476" s="8" t="s">
        <v>3337</v>
      </c>
      <c r="T476" s="29" t="s">
        <v>3326</v>
      </c>
      <c r="U476" s="24"/>
    </row>
    <row r="477" hidden="1">
      <c r="A477" s="30">
        <v>7.290014791879E12</v>
      </c>
      <c r="B477" s="20" t="s">
        <v>1512</v>
      </c>
      <c r="C477" s="21">
        <v>0.066</v>
      </c>
      <c r="D477" s="21">
        <v>0.202</v>
      </c>
      <c r="E477" s="21">
        <v>0.066</v>
      </c>
      <c r="F477" s="22">
        <v>5.0</v>
      </c>
      <c r="G477" s="23"/>
      <c r="H477" s="24" t="s">
        <v>1513</v>
      </c>
      <c r="I477" s="21" t="s">
        <v>1514</v>
      </c>
      <c r="J477" s="24" t="s">
        <v>1516</v>
      </c>
      <c r="K477" s="21" t="s">
        <v>1517</v>
      </c>
      <c r="L477" s="25" t="s">
        <v>1518</v>
      </c>
      <c r="M477" s="26" t="s">
        <v>28</v>
      </c>
      <c r="N477" s="24" t="s">
        <v>718</v>
      </c>
      <c r="O477" s="24" t="s">
        <v>719</v>
      </c>
      <c r="P477" s="27"/>
      <c r="Q477" s="27"/>
      <c r="R477" s="28" t="s">
        <v>1519</v>
      </c>
      <c r="S477" s="8" t="s">
        <v>1520</v>
      </c>
      <c r="T477" s="29" t="s">
        <v>1521</v>
      </c>
      <c r="U477" s="24"/>
    </row>
    <row r="478" hidden="1">
      <c r="A478" s="30">
        <v>7.290014791848E12</v>
      </c>
      <c r="B478" s="20" t="s">
        <v>1536</v>
      </c>
      <c r="C478" s="21">
        <v>0.066</v>
      </c>
      <c r="D478" s="21">
        <v>0.202</v>
      </c>
      <c r="E478" s="21">
        <v>0.066</v>
      </c>
      <c r="F478" s="22">
        <v>5.0</v>
      </c>
      <c r="G478" s="23"/>
      <c r="H478" s="24" t="s">
        <v>1513</v>
      </c>
      <c r="I478" s="21" t="s">
        <v>1514</v>
      </c>
      <c r="J478" s="24" t="s">
        <v>1537</v>
      </c>
      <c r="K478" s="21" t="s">
        <v>1538</v>
      </c>
      <c r="L478" s="25" t="s">
        <v>1539</v>
      </c>
      <c r="M478" s="26" t="s">
        <v>28</v>
      </c>
      <c r="N478" s="24" t="s">
        <v>718</v>
      </c>
      <c r="O478" s="24" t="s">
        <v>719</v>
      </c>
      <c r="P478" s="27"/>
      <c r="Q478" s="27"/>
      <c r="R478" s="28" t="s">
        <v>1540</v>
      </c>
      <c r="S478" s="8" t="s">
        <v>1541</v>
      </c>
      <c r="T478" s="29" t="s">
        <v>1521</v>
      </c>
      <c r="U478" s="24"/>
    </row>
    <row r="479" hidden="1">
      <c r="A479" s="30">
        <v>7.290014791817E12</v>
      </c>
      <c r="B479" s="20" t="s">
        <v>1522</v>
      </c>
      <c r="C479" s="21">
        <v>0.0955</v>
      </c>
      <c r="D479" s="21">
        <v>0.278</v>
      </c>
      <c r="E479" s="21">
        <v>0.0955</v>
      </c>
      <c r="F479" s="22">
        <v>3.0</v>
      </c>
      <c r="G479" s="23"/>
      <c r="H479" s="24" t="s">
        <v>1513</v>
      </c>
      <c r="I479" s="21" t="s">
        <v>1514</v>
      </c>
      <c r="J479" s="24" t="s">
        <v>1523</v>
      </c>
      <c r="K479" s="21" t="s">
        <v>1524</v>
      </c>
      <c r="L479" s="25" t="s">
        <v>1525</v>
      </c>
      <c r="M479" s="26" t="s">
        <v>28</v>
      </c>
      <c r="N479" s="24" t="s">
        <v>718</v>
      </c>
      <c r="O479" s="24" t="s">
        <v>1526</v>
      </c>
      <c r="P479" s="27"/>
      <c r="Q479" s="27"/>
      <c r="R479" s="31" t="s">
        <v>1527</v>
      </c>
      <c r="S479" s="33" t="s">
        <v>1528</v>
      </c>
      <c r="T479" s="29" t="s">
        <v>1529</v>
      </c>
      <c r="U479" s="24"/>
    </row>
    <row r="480" hidden="1">
      <c r="A480" s="30">
        <v>7.290014791787E12</v>
      </c>
      <c r="B480" s="20" t="s">
        <v>1542</v>
      </c>
      <c r="C480" s="21">
        <v>0.0955</v>
      </c>
      <c r="D480" s="21">
        <v>0.278</v>
      </c>
      <c r="E480" s="21">
        <v>0.0955</v>
      </c>
      <c r="F480" s="22">
        <v>3.0</v>
      </c>
      <c r="G480" s="23"/>
      <c r="H480" s="24" t="s">
        <v>1513</v>
      </c>
      <c r="I480" s="21" t="s">
        <v>1514</v>
      </c>
      <c r="J480" s="24" t="s">
        <v>1543</v>
      </c>
      <c r="K480" s="21" t="s">
        <v>1544</v>
      </c>
      <c r="L480" s="25" t="s">
        <v>1545</v>
      </c>
      <c r="M480" s="26" t="s">
        <v>28</v>
      </c>
      <c r="N480" s="24" t="s">
        <v>718</v>
      </c>
      <c r="O480" s="24" t="s">
        <v>1526</v>
      </c>
      <c r="P480" s="27"/>
      <c r="Q480" s="27"/>
      <c r="R480" s="31" t="s">
        <v>1546</v>
      </c>
      <c r="S480" s="33" t="s">
        <v>1547</v>
      </c>
      <c r="T480" s="29" t="s">
        <v>1529</v>
      </c>
      <c r="U480" s="24"/>
    </row>
    <row r="481" hidden="1">
      <c r="A481" s="30">
        <v>7.2900147918E12</v>
      </c>
      <c r="B481" s="20" t="s">
        <v>1530</v>
      </c>
      <c r="C481" s="21">
        <v>0.0955</v>
      </c>
      <c r="D481" s="21">
        <v>0.278</v>
      </c>
      <c r="E481" s="21">
        <v>0.0955</v>
      </c>
      <c r="F481" s="22">
        <v>3.0</v>
      </c>
      <c r="G481" s="23"/>
      <c r="H481" s="24" t="s">
        <v>1513</v>
      </c>
      <c r="I481" s="21" t="s">
        <v>1514</v>
      </c>
      <c r="J481" s="24" t="s">
        <v>1531</v>
      </c>
      <c r="K481" s="21" t="s">
        <v>1532</v>
      </c>
      <c r="L481" s="25" t="s">
        <v>1533</v>
      </c>
      <c r="M481" s="26" t="s">
        <v>28</v>
      </c>
      <c r="N481" s="24" t="s">
        <v>718</v>
      </c>
      <c r="O481" s="24" t="s">
        <v>1526</v>
      </c>
      <c r="P481" s="27"/>
      <c r="Q481" s="27"/>
      <c r="R481" s="31" t="s">
        <v>1534</v>
      </c>
      <c r="S481" s="33" t="s">
        <v>1535</v>
      </c>
      <c r="T481" s="29" t="s">
        <v>1529</v>
      </c>
      <c r="U481" s="24"/>
    </row>
    <row r="482" hidden="1">
      <c r="A482" s="30">
        <v>7.290017888644E12</v>
      </c>
      <c r="B482" s="20" t="s">
        <v>1559</v>
      </c>
      <c r="C482" s="21">
        <v>0.065</v>
      </c>
      <c r="D482" s="21">
        <v>0.153</v>
      </c>
      <c r="E482" s="21">
        <v>0.065</v>
      </c>
      <c r="F482" s="22">
        <v>5.0</v>
      </c>
      <c r="G482" s="23"/>
      <c r="H482" s="24" t="s">
        <v>1549</v>
      </c>
      <c r="I482" s="21" t="s">
        <v>1550</v>
      </c>
      <c r="J482" s="24" t="s">
        <v>1560</v>
      </c>
      <c r="K482" s="21" t="s">
        <v>1561</v>
      </c>
      <c r="L482" s="25" t="s">
        <v>1562</v>
      </c>
      <c r="M482" s="26" t="s">
        <v>28</v>
      </c>
      <c r="N482" s="24" t="s">
        <v>718</v>
      </c>
      <c r="O482" s="24" t="s">
        <v>719</v>
      </c>
      <c r="P482" s="27"/>
      <c r="Q482" s="27"/>
      <c r="R482" s="31" t="s">
        <v>1563</v>
      </c>
      <c r="S482" s="8" t="s">
        <v>1564</v>
      </c>
      <c r="T482" s="29" t="s">
        <v>1550</v>
      </c>
      <c r="U482" s="24"/>
    </row>
    <row r="483" hidden="1">
      <c r="A483" s="30">
        <v>7.290017888026E12</v>
      </c>
      <c r="B483" s="20" t="s">
        <v>1565</v>
      </c>
      <c r="C483" s="21">
        <v>0.065</v>
      </c>
      <c r="D483" s="21">
        <v>0.153</v>
      </c>
      <c r="E483" s="21">
        <v>0.065</v>
      </c>
      <c r="F483" s="22">
        <v>5.0</v>
      </c>
      <c r="G483" s="23"/>
      <c r="H483" s="24" t="s">
        <v>1549</v>
      </c>
      <c r="I483" s="21" t="s">
        <v>1550</v>
      </c>
      <c r="J483" s="24" t="s">
        <v>1566</v>
      </c>
      <c r="K483" s="21" t="s">
        <v>1567</v>
      </c>
      <c r="L483" s="25" t="s">
        <v>1568</v>
      </c>
      <c r="M483" s="26" t="s">
        <v>28</v>
      </c>
      <c r="N483" s="24" t="s">
        <v>1555</v>
      </c>
      <c r="O483" s="24" t="s">
        <v>1556</v>
      </c>
      <c r="P483" s="27"/>
      <c r="Q483" s="27"/>
      <c r="R483" s="28" t="s">
        <v>1569</v>
      </c>
      <c r="S483" s="33" t="s">
        <v>1570</v>
      </c>
      <c r="T483" s="29" t="s">
        <v>1550</v>
      </c>
      <c r="U483" s="24"/>
    </row>
    <row r="484" hidden="1">
      <c r="A484" s="30">
        <v>7.290017888033E12</v>
      </c>
      <c r="B484" s="20" t="s">
        <v>1548</v>
      </c>
      <c r="C484" s="21">
        <v>0.065</v>
      </c>
      <c r="D484" s="21">
        <v>0.153</v>
      </c>
      <c r="E484" s="21">
        <v>0.065</v>
      </c>
      <c r="F484" s="22">
        <v>5.0</v>
      </c>
      <c r="G484" s="23"/>
      <c r="H484" s="24" t="s">
        <v>1549</v>
      </c>
      <c r="I484" s="21" t="s">
        <v>1550</v>
      </c>
      <c r="J484" s="24" t="s">
        <v>1552</v>
      </c>
      <c r="K484" s="21" t="s">
        <v>1553</v>
      </c>
      <c r="L484" s="25" t="s">
        <v>1554</v>
      </c>
      <c r="M484" s="26" t="s">
        <v>28</v>
      </c>
      <c r="N484" s="24" t="s">
        <v>1555</v>
      </c>
      <c r="O484" s="24" t="s">
        <v>1556</v>
      </c>
      <c r="P484" s="27"/>
      <c r="Q484" s="27"/>
      <c r="R484" s="28" t="s">
        <v>1557</v>
      </c>
      <c r="S484" s="8" t="s">
        <v>1558</v>
      </c>
      <c r="T484" s="29" t="s">
        <v>1550</v>
      </c>
      <c r="U484" s="24"/>
    </row>
    <row r="485" hidden="1">
      <c r="A485" s="30">
        <v>7.290017888019E12</v>
      </c>
      <c r="B485" s="20" t="s">
        <v>1571</v>
      </c>
      <c r="C485" s="21">
        <v>0.065</v>
      </c>
      <c r="D485" s="21">
        <v>0.153</v>
      </c>
      <c r="E485" s="21">
        <v>0.065</v>
      </c>
      <c r="F485" s="22">
        <v>5.0</v>
      </c>
      <c r="G485" s="23"/>
      <c r="H485" s="24" t="s">
        <v>1549</v>
      </c>
      <c r="I485" s="21" t="s">
        <v>1550</v>
      </c>
      <c r="J485" s="24" t="s">
        <v>1572</v>
      </c>
      <c r="K485" s="21" t="s">
        <v>1573</v>
      </c>
      <c r="L485" s="25" t="s">
        <v>1574</v>
      </c>
      <c r="M485" s="26" t="s">
        <v>28</v>
      </c>
      <c r="N485" s="24" t="s">
        <v>1555</v>
      </c>
      <c r="O485" s="24" t="s">
        <v>1556</v>
      </c>
      <c r="P485" s="27"/>
      <c r="Q485" s="27"/>
      <c r="R485" s="28" t="s">
        <v>1575</v>
      </c>
      <c r="S485" s="8" t="s">
        <v>1576</v>
      </c>
      <c r="T485" s="29" t="s">
        <v>1550</v>
      </c>
      <c r="U485" s="24"/>
    </row>
    <row r="486" hidden="1">
      <c r="A486" s="30">
        <v>45917.0</v>
      </c>
      <c r="B486" s="20" t="s">
        <v>1501</v>
      </c>
      <c r="C486" s="21">
        <v>0.063</v>
      </c>
      <c r="D486" s="21">
        <v>0.15</v>
      </c>
      <c r="E486" s="21">
        <v>0.075</v>
      </c>
      <c r="F486" s="22">
        <v>4.0</v>
      </c>
      <c r="G486" s="23"/>
      <c r="H486" s="24" t="s">
        <v>1502</v>
      </c>
      <c r="I486" s="21" t="s">
        <v>1503</v>
      </c>
      <c r="J486" s="24" t="s">
        <v>1504</v>
      </c>
      <c r="K486" s="21" t="s">
        <v>1505</v>
      </c>
      <c r="L486" s="25" t="s">
        <v>1506</v>
      </c>
      <c r="M486" s="26" t="s">
        <v>28</v>
      </c>
      <c r="N486" s="24" t="s">
        <v>1507</v>
      </c>
      <c r="O486" s="24" t="s">
        <v>1508</v>
      </c>
      <c r="P486" s="27"/>
      <c r="Q486" s="27"/>
      <c r="R486" s="28" t="s">
        <v>1509</v>
      </c>
      <c r="S486" s="8" t="s">
        <v>1510</v>
      </c>
      <c r="T486" s="29" t="s">
        <v>1511</v>
      </c>
      <c r="U486" s="24"/>
    </row>
    <row r="487" hidden="1">
      <c r="A487" s="30">
        <v>7.290013585684E12</v>
      </c>
      <c r="B487" s="20" t="s">
        <v>3757</v>
      </c>
      <c r="C487" s="21">
        <v>0.07</v>
      </c>
      <c r="D487" s="21">
        <v>0.18</v>
      </c>
      <c r="E487" s="21">
        <v>0.07</v>
      </c>
      <c r="F487" s="22">
        <v>4.0</v>
      </c>
      <c r="G487" s="23"/>
      <c r="H487" s="24" t="s">
        <v>3726</v>
      </c>
      <c r="I487" s="21" t="s">
        <v>3727</v>
      </c>
      <c r="J487" s="24" t="s">
        <v>3758</v>
      </c>
      <c r="K487" s="21" t="s">
        <v>3759</v>
      </c>
      <c r="L487" s="25" t="s">
        <v>3760</v>
      </c>
      <c r="M487" s="26" t="s">
        <v>28</v>
      </c>
      <c r="N487" s="24" t="s">
        <v>3746</v>
      </c>
      <c r="O487" s="24" t="s">
        <v>3747</v>
      </c>
      <c r="P487" s="27"/>
      <c r="Q487" s="27"/>
      <c r="R487" s="28" t="s">
        <v>3761</v>
      </c>
      <c r="S487" s="8" t="s">
        <v>3762</v>
      </c>
      <c r="T487" s="29" t="s">
        <v>3750</v>
      </c>
      <c r="U487" s="24"/>
    </row>
    <row r="488" hidden="1">
      <c r="A488" s="30">
        <v>7.290013585653E12</v>
      </c>
      <c r="B488" s="20" t="s">
        <v>3751</v>
      </c>
      <c r="C488" s="21">
        <v>0.07</v>
      </c>
      <c r="D488" s="21">
        <v>0.18</v>
      </c>
      <c r="E488" s="21">
        <v>0.07</v>
      </c>
      <c r="F488" s="22">
        <v>4.0</v>
      </c>
      <c r="G488" s="23"/>
      <c r="H488" s="24" t="s">
        <v>3726</v>
      </c>
      <c r="I488" s="21" t="s">
        <v>3727</v>
      </c>
      <c r="J488" s="24" t="s">
        <v>3752</v>
      </c>
      <c r="K488" s="21" t="s">
        <v>3753</v>
      </c>
      <c r="L488" s="25" t="s">
        <v>3754</v>
      </c>
      <c r="M488" s="26" t="s">
        <v>28</v>
      </c>
      <c r="N488" s="24" t="s">
        <v>3746</v>
      </c>
      <c r="O488" s="24" t="s">
        <v>3747</v>
      </c>
      <c r="P488" s="27"/>
      <c r="Q488" s="27"/>
      <c r="R488" s="28" t="s">
        <v>3755</v>
      </c>
      <c r="S488" s="8" t="s">
        <v>3756</v>
      </c>
      <c r="T488" s="29" t="s">
        <v>3727</v>
      </c>
      <c r="U488" s="24"/>
    </row>
    <row r="489" hidden="1">
      <c r="A489" s="30">
        <v>7.290013585677E12</v>
      </c>
      <c r="B489" s="20" t="s">
        <v>3742</v>
      </c>
      <c r="C489" s="21">
        <v>0.07</v>
      </c>
      <c r="D489" s="21">
        <v>0.18</v>
      </c>
      <c r="E489" s="21">
        <v>0.07</v>
      </c>
      <c r="F489" s="22">
        <v>4.0</v>
      </c>
      <c r="G489" s="23"/>
      <c r="H489" s="24" t="s">
        <v>3726</v>
      </c>
      <c r="I489" s="21" t="s">
        <v>3727</v>
      </c>
      <c r="J489" s="24" t="s">
        <v>3743</v>
      </c>
      <c r="K489" s="21" t="s">
        <v>3744</v>
      </c>
      <c r="L489" s="25" t="s">
        <v>3745</v>
      </c>
      <c r="M489" s="26" t="s">
        <v>28</v>
      </c>
      <c r="N489" s="24" t="s">
        <v>3746</v>
      </c>
      <c r="O489" s="24" t="s">
        <v>3747</v>
      </c>
      <c r="P489" s="27"/>
      <c r="Q489" s="27"/>
      <c r="R489" s="28" t="s">
        <v>3748</v>
      </c>
      <c r="S489" s="8" t="s">
        <v>3749</v>
      </c>
      <c r="T489" s="29" t="s">
        <v>3750</v>
      </c>
      <c r="U489" s="24"/>
    </row>
    <row r="490" hidden="1">
      <c r="A490" s="30">
        <v>7.290011015374E12</v>
      </c>
      <c r="B490" s="20" t="s">
        <v>3769</v>
      </c>
      <c r="C490" s="21">
        <v>0.07</v>
      </c>
      <c r="D490" s="21">
        <v>0.19</v>
      </c>
      <c r="E490" s="21">
        <v>0.053</v>
      </c>
      <c r="F490" s="22">
        <v>6.0</v>
      </c>
      <c r="G490" s="23"/>
      <c r="H490" s="24" t="s">
        <v>3726</v>
      </c>
      <c r="I490" s="21" t="s">
        <v>3727</v>
      </c>
      <c r="J490" s="24" t="s">
        <v>3770</v>
      </c>
      <c r="K490" s="21" t="s">
        <v>3771</v>
      </c>
      <c r="L490" s="25" t="s">
        <v>3772</v>
      </c>
      <c r="M490" s="26" t="s">
        <v>28</v>
      </c>
      <c r="N490" s="24" t="s">
        <v>3738</v>
      </c>
      <c r="O490" s="24" t="s">
        <v>3739</v>
      </c>
      <c r="P490" s="27"/>
      <c r="Q490" s="27"/>
      <c r="R490" s="31" t="s">
        <v>3773</v>
      </c>
      <c r="S490" s="8" t="s">
        <v>3774</v>
      </c>
      <c r="T490" s="29" t="s">
        <v>3727</v>
      </c>
      <c r="U490" s="24"/>
    </row>
    <row r="491" hidden="1">
      <c r="A491" s="30">
        <v>7.290000377612E12</v>
      </c>
      <c r="B491" s="20" t="s">
        <v>3763</v>
      </c>
      <c r="C491" s="21">
        <v>0.07</v>
      </c>
      <c r="D491" s="21">
        <v>0.19</v>
      </c>
      <c r="E491" s="21">
        <v>0.053</v>
      </c>
      <c r="F491" s="22">
        <v>6.0</v>
      </c>
      <c r="G491" s="23"/>
      <c r="H491" s="24" t="s">
        <v>3726</v>
      </c>
      <c r="I491" s="21" t="s">
        <v>3727</v>
      </c>
      <c r="J491" s="24" t="s">
        <v>3764</v>
      </c>
      <c r="K491" s="21" t="s">
        <v>3765</v>
      </c>
      <c r="L491" s="25" t="s">
        <v>3766</v>
      </c>
      <c r="M491" s="26" t="s">
        <v>37</v>
      </c>
      <c r="N491" s="24" t="s">
        <v>3738</v>
      </c>
      <c r="O491" s="24" t="s">
        <v>3739</v>
      </c>
      <c r="P491" s="27"/>
      <c r="Q491" s="27"/>
      <c r="R491" s="28" t="s">
        <v>3767</v>
      </c>
      <c r="S491" s="8" t="s">
        <v>3768</v>
      </c>
      <c r="T491" s="29" t="e">
        <v>#N/A</v>
      </c>
      <c r="U491" s="24"/>
    </row>
    <row r="492" hidden="1">
      <c r="A492" s="30">
        <v>7.290013153432E12</v>
      </c>
      <c r="B492" s="20" t="s">
        <v>3734</v>
      </c>
      <c r="C492" s="21">
        <v>0.07</v>
      </c>
      <c r="D492" s="21">
        <v>0.19</v>
      </c>
      <c r="E492" s="21">
        <v>0.053</v>
      </c>
      <c r="F492" s="22">
        <v>6.0</v>
      </c>
      <c r="G492" s="23"/>
      <c r="H492" s="24" t="s">
        <v>3726</v>
      </c>
      <c r="I492" s="21" t="s">
        <v>3727</v>
      </c>
      <c r="J492" s="24" t="s">
        <v>3735</v>
      </c>
      <c r="K492" s="21" t="s">
        <v>3736</v>
      </c>
      <c r="L492" s="25" t="s">
        <v>3737</v>
      </c>
      <c r="M492" s="26" t="s">
        <v>28</v>
      </c>
      <c r="N492" s="24" t="s">
        <v>3738</v>
      </c>
      <c r="O492" s="24" t="s">
        <v>3739</v>
      </c>
      <c r="P492" s="27"/>
      <c r="Q492" s="27"/>
      <c r="R492" s="28" t="s">
        <v>3740</v>
      </c>
      <c r="S492" s="8" t="s">
        <v>3741</v>
      </c>
      <c r="T492" s="29" t="s">
        <v>3727</v>
      </c>
      <c r="U492" s="24"/>
    </row>
    <row r="493" hidden="1">
      <c r="A493" s="30">
        <v>7.290001594384E12</v>
      </c>
      <c r="B493" s="20" t="s">
        <v>3793</v>
      </c>
      <c r="C493" s="21">
        <v>0.06</v>
      </c>
      <c r="D493" s="21">
        <v>0.193</v>
      </c>
      <c r="E493" s="21">
        <v>0.06</v>
      </c>
      <c r="F493" s="22">
        <v>5.0</v>
      </c>
      <c r="G493" s="23"/>
      <c r="H493" s="24" t="s">
        <v>3726</v>
      </c>
      <c r="I493" s="21" t="s">
        <v>3727</v>
      </c>
      <c r="J493" s="24" t="s">
        <v>3794</v>
      </c>
      <c r="K493" s="21" t="s">
        <v>3795</v>
      </c>
      <c r="L493" s="25" t="s">
        <v>3796</v>
      </c>
      <c r="M493" s="26" t="s">
        <v>37</v>
      </c>
      <c r="N493" s="24" t="s">
        <v>718</v>
      </c>
      <c r="O493" s="24" t="s">
        <v>719</v>
      </c>
      <c r="P493" s="27"/>
      <c r="Q493" s="27"/>
      <c r="R493" s="28" t="s">
        <v>3797</v>
      </c>
      <c r="S493" s="8" t="s">
        <v>3798</v>
      </c>
      <c r="T493" s="29" t="e">
        <v>#N/A</v>
      </c>
      <c r="U493" s="24"/>
    </row>
    <row r="494" hidden="1">
      <c r="A494" s="30">
        <v>7.290110110475E12</v>
      </c>
      <c r="B494" s="20" t="s">
        <v>3817</v>
      </c>
      <c r="C494" s="21">
        <v>0.06</v>
      </c>
      <c r="D494" s="21">
        <v>0.193</v>
      </c>
      <c r="E494" s="21">
        <v>0.06</v>
      </c>
      <c r="F494" s="22">
        <v>5.0</v>
      </c>
      <c r="G494" s="23"/>
      <c r="H494" s="24" t="s">
        <v>3726</v>
      </c>
      <c r="I494" s="21" t="s">
        <v>3727</v>
      </c>
      <c r="J494" s="24" t="s">
        <v>3818</v>
      </c>
      <c r="K494" s="21" t="s">
        <v>3819</v>
      </c>
      <c r="L494" s="25" t="s">
        <v>3820</v>
      </c>
      <c r="M494" s="26" t="s">
        <v>28</v>
      </c>
      <c r="N494" s="24" t="s">
        <v>718</v>
      </c>
      <c r="O494" s="24" t="s">
        <v>719</v>
      </c>
      <c r="P494" s="27"/>
      <c r="Q494" s="27"/>
      <c r="R494" s="28" t="s">
        <v>3821</v>
      </c>
      <c r="S494" s="8" t="s">
        <v>3822</v>
      </c>
      <c r="T494" s="29" t="s">
        <v>3727</v>
      </c>
      <c r="U494" s="24"/>
    </row>
    <row r="495" hidden="1">
      <c r="A495" s="30">
        <v>7.290110110468E12</v>
      </c>
      <c r="B495" s="20" t="s">
        <v>3811</v>
      </c>
      <c r="C495" s="21">
        <v>0.06</v>
      </c>
      <c r="D495" s="21">
        <v>0.193</v>
      </c>
      <c r="E495" s="21">
        <v>0.06</v>
      </c>
      <c r="F495" s="22">
        <v>5.0</v>
      </c>
      <c r="G495" s="23"/>
      <c r="H495" s="24" t="s">
        <v>3726</v>
      </c>
      <c r="I495" s="21" t="s">
        <v>3727</v>
      </c>
      <c r="J495" s="24" t="s">
        <v>3812</v>
      </c>
      <c r="K495" s="21" t="s">
        <v>3813</v>
      </c>
      <c r="L495" s="25" t="s">
        <v>3814</v>
      </c>
      <c r="M495" s="26" t="s">
        <v>28</v>
      </c>
      <c r="N495" s="24" t="s">
        <v>718</v>
      </c>
      <c r="O495" s="24" t="s">
        <v>719</v>
      </c>
      <c r="P495" s="27"/>
      <c r="Q495" s="27"/>
      <c r="R495" s="28" t="s">
        <v>3815</v>
      </c>
      <c r="S495" s="8" t="s">
        <v>3816</v>
      </c>
      <c r="T495" s="29" t="s">
        <v>3727</v>
      </c>
      <c r="U495" s="24"/>
    </row>
    <row r="496" hidden="1">
      <c r="A496" s="30">
        <v>7.290001594377E12</v>
      </c>
      <c r="B496" s="20" t="s">
        <v>3823</v>
      </c>
      <c r="C496" s="21">
        <v>0.06</v>
      </c>
      <c r="D496" s="21">
        <v>0.193</v>
      </c>
      <c r="E496" s="21">
        <v>0.06</v>
      </c>
      <c r="F496" s="22">
        <v>5.0</v>
      </c>
      <c r="G496" s="23"/>
      <c r="H496" s="24" t="s">
        <v>3726</v>
      </c>
      <c r="I496" s="21" t="s">
        <v>3727</v>
      </c>
      <c r="J496" s="24" t="s">
        <v>3824</v>
      </c>
      <c r="K496" s="21" t="s">
        <v>3825</v>
      </c>
      <c r="L496" s="25" t="s">
        <v>3826</v>
      </c>
      <c r="M496" s="26" t="s">
        <v>37</v>
      </c>
      <c r="N496" s="24" t="s">
        <v>718</v>
      </c>
      <c r="O496" s="24" t="s">
        <v>719</v>
      </c>
      <c r="P496" s="27"/>
      <c r="Q496" s="27"/>
      <c r="R496" s="28" t="s">
        <v>3827</v>
      </c>
      <c r="S496" s="8" t="s">
        <v>3828</v>
      </c>
      <c r="T496" s="29" t="e">
        <v>#N/A</v>
      </c>
      <c r="U496" s="24"/>
    </row>
    <row r="497" hidden="1">
      <c r="A497" s="30">
        <v>7.290002871477E12</v>
      </c>
      <c r="B497" s="20" t="s">
        <v>3787</v>
      </c>
      <c r="C497" s="21">
        <v>0.08</v>
      </c>
      <c r="D497" s="21">
        <v>0.3</v>
      </c>
      <c r="E497" s="21">
        <v>0.08</v>
      </c>
      <c r="F497" s="22">
        <v>4.0</v>
      </c>
      <c r="G497" s="23"/>
      <c r="H497" s="24" t="s">
        <v>3726</v>
      </c>
      <c r="I497" s="21" t="s">
        <v>3727</v>
      </c>
      <c r="J497" s="24" t="s">
        <v>3788</v>
      </c>
      <c r="K497" s="21" t="s">
        <v>3789</v>
      </c>
      <c r="L497" s="25" t="s">
        <v>3790</v>
      </c>
      <c r="M497" s="26" t="s">
        <v>37</v>
      </c>
      <c r="N497" s="24" t="s">
        <v>718</v>
      </c>
      <c r="O497" s="24" t="s">
        <v>1526</v>
      </c>
      <c r="P497" s="27"/>
      <c r="Q497" s="27"/>
      <c r="R497" s="31" t="s">
        <v>3791</v>
      </c>
      <c r="S497" s="33" t="s">
        <v>3792</v>
      </c>
      <c r="T497" s="29" t="e">
        <v>#N/A</v>
      </c>
      <c r="U497" s="24"/>
    </row>
    <row r="498" hidden="1">
      <c r="A498" s="30">
        <v>7.290005604133E12</v>
      </c>
      <c r="B498" s="20" t="s">
        <v>3799</v>
      </c>
      <c r="C498" s="21">
        <v>0.08</v>
      </c>
      <c r="D498" s="21">
        <v>0.3</v>
      </c>
      <c r="E498" s="21">
        <v>0.08</v>
      </c>
      <c r="F498" s="22">
        <v>4.0</v>
      </c>
      <c r="G498" s="23"/>
      <c r="H498" s="24" t="s">
        <v>3726</v>
      </c>
      <c r="I498" s="21" t="s">
        <v>3727</v>
      </c>
      <c r="J498" s="24" t="s">
        <v>3800</v>
      </c>
      <c r="K498" s="21" t="s">
        <v>3801</v>
      </c>
      <c r="L498" s="25" t="s">
        <v>3802</v>
      </c>
      <c r="M498" s="26" t="s">
        <v>37</v>
      </c>
      <c r="N498" s="24" t="s">
        <v>718</v>
      </c>
      <c r="O498" s="24" t="s">
        <v>1526</v>
      </c>
      <c r="P498" s="27"/>
      <c r="Q498" s="27"/>
      <c r="R498" s="31" t="s">
        <v>3803</v>
      </c>
      <c r="S498" s="33" t="s">
        <v>3804</v>
      </c>
      <c r="T498" s="29" t="e">
        <v>#N/A</v>
      </c>
      <c r="U498" s="24"/>
    </row>
    <row r="499" hidden="1">
      <c r="A499" s="30">
        <v>7.290002871446E12</v>
      </c>
      <c r="B499" s="20" t="s">
        <v>3775</v>
      </c>
      <c r="C499" s="21">
        <v>0.08</v>
      </c>
      <c r="D499" s="21">
        <v>0.3</v>
      </c>
      <c r="E499" s="21">
        <v>0.08</v>
      </c>
      <c r="F499" s="22">
        <v>4.0</v>
      </c>
      <c r="G499" s="23"/>
      <c r="H499" s="24" t="s">
        <v>3726</v>
      </c>
      <c r="I499" s="21" t="s">
        <v>3727</v>
      </c>
      <c r="J499" s="24" t="s">
        <v>3776</v>
      </c>
      <c r="K499" s="21" t="s">
        <v>3777</v>
      </c>
      <c r="L499" s="25" t="s">
        <v>3778</v>
      </c>
      <c r="M499" s="26" t="s">
        <v>37</v>
      </c>
      <c r="N499" s="24" t="s">
        <v>718</v>
      </c>
      <c r="O499" s="24" t="s">
        <v>1526</v>
      </c>
      <c r="P499" s="27"/>
      <c r="Q499" s="27"/>
      <c r="R499" s="31" t="s">
        <v>3779</v>
      </c>
      <c r="S499" s="33" t="s">
        <v>3780</v>
      </c>
      <c r="T499" s="29" t="e">
        <v>#N/A</v>
      </c>
      <c r="U499" s="24"/>
    </row>
    <row r="500" hidden="1">
      <c r="A500" s="30">
        <v>7.290003667369E12</v>
      </c>
      <c r="B500" s="20" t="s">
        <v>3829</v>
      </c>
      <c r="C500" s="21">
        <v>0.08</v>
      </c>
      <c r="D500" s="21">
        <v>0.3</v>
      </c>
      <c r="E500" s="21">
        <v>0.08</v>
      </c>
      <c r="F500" s="22">
        <v>4.0</v>
      </c>
      <c r="G500" s="23"/>
      <c r="H500" s="24" t="s">
        <v>3726</v>
      </c>
      <c r="I500" s="21" t="s">
        <v>3727</v>
      </c>
      <c r="J500" s="24" t="s">
        <v>3830</v>
      </c>
      <c r="K500" s="21" t="s">
        <v>3831</v>
      </c>
      <c r="L500" s="25" t="s">
        <v>3832</v>
      </c>
      <c r="M500" s="26" t="s">
        <v>37</v>
      </c>
      <c r="N500" s="24" t="s">
        <v>718</v>
      </c>
      <c r="O500" s="24" t="s">
        <v>1526</v>
      </c>
      <c r="P500" s="27"/>
      <c r="Q500" s="27"/>
      <c r="R500" s="31" t="s">
        <v>3833</v>
      </c>
      <c r="S500" s="33" t="s">
        <v>3834</v>
      </c>
      <c r="T500" s="29" t="e">
        <v>#N/A</v>
      </c>
      <c r="U500" s="24"/>
    </row>
    <row r="501" hidden="1">
      <c r="A501" s="30">
        <v>7.29000287146E12</v>
      </c>
      <c r="B501" s="20" t="s">
        <v>3805</v>
      </c>
      <c r="C501" s="21">
        <v>0.08</v>
      </c>
      <c r="D501" s="21">
        <v>0.3</v>
      </c>
      <c r="E501" s="21">
        <v>0.08</v>
      </c>
      <c r="F501" s="22">
        <v>4.0</v>
      </c>
      <c r="G501" s="23"/>
      <c r="H501" s="24" t="s">
        <v>3726</v>
      </c>
      <c r="I501" s="21" t="s">
        <v>3727</v>
      </c>
      <c r="J501" s="24" t="s">
        <v>3806</v>
      </c>
      <c r="K501" s="21" t="s">
        <v>3807</v>
      </c>
      <c r="L501" s="25" t="s">
        <v>3808</v>
      </c>
      <c r="M501" s="26" t="s">
        <v>37</v>
      </c>
      <c r="N501" s="24" t="s">
        <v>718</v>
      </c>
      <c r="O501" s="24" t="s">
        <v>1526</v>
      </c>
      <c r="P501" s="27"/>
      <c r="Q501" s="27"/>
      <c r="R501" s="31" t="s">
        <v>3809</v>
      </c>
      <c r="S501" s="33" t="s">
        <v>3810</v>
      </c>
      <c r="T501" s="29" t="e">
        <v>#N/A</v>
      </c>
      <c r="U501" s="24"/>
    </row>
    <row r="502" hidden="1">
      <c r="A502" s="30">
        <v>7.290004423353E12</v>
      </c>
      <c r="B502" s="20" t="s">
        <v>3725</v>
      </c>
      <c r="C502" s="21">
        <v>0.08</v>
      </c>
      <c r="D502" s="21">
        <v>0.3</v>
      </c>
      <c r="E502" s="21">
        <v>0.08</v>
      </c>
      <c r="F502" s="22">
        <v>4.0</v>
      </c>
      <c r="G502" s="23"/>
      <c r="H502" s="24" t="s">
        <v>3726</v>
      </c>
      <c r="I502" s="21" t="s">
        <v>3727</v>
      </c>
      <c r="J502" s="24" t="s">
        <v>3729</v>
      </c>
      <c r="K502" s="21" t="s">
        <v>3730</v>
      </c>
      <c r="L502" s="25" t="s">
        <v>3731</v>
      </c>
      <c r="M502" s="26" t="s">
        <v>37</v>
      </c>
      <c r="N502" s="24" t="s">
        <v>718</v>
      </c>
      <c r="O502" s="24" t="s">
        <v>1526</v>
      </c>
      <c r="P502" s="27"/>
      <c r="Q502" s="27"/>
      <c r="R502" s="31" t="s">
        <v>3732</v>
      </c>
      <c r="S502" s="33" t="s">
        <v>3733</v>
      </c>
      <c r="T502" s="29" t="e">
        <v>#N/A</v>
      </c>
      <c r="U502" s="24"/>
    </row>
    <row r="503" hidden="1">
      <c r="A503" s="30">
        <v>7.290001594391E12</v>
      </c>
      <c r="B503" s="20" t="s">
        <v>3781</v>
      </c>
      <c r="C503" s="21">
        <v>0.06</v>
      </c>
      <c r="D503" s="21">
        <v>0.193</v>
      </c>
      <c r="E503" s="21">
        <v>0.06</v>
      </c>
      <c r="F503" s="22">
        <v>5.0</v>
      </c>
      <c r="G503" s="23"/>
      <c r="H503" s="24" t="s">
        <v>3726</v>
      </c>
      <c r="I503" s="21" t="s">
        <v>3727</v>
      </c>
      <c r="J503" s="24" t="s">
        <v>3782</v>
      </c>
      <c r="K503" s="21" t="s">
        <v>3783</v>
      </c>
      <c r="L503" s="25" t="s">
        <v>3784</v>
      </c>
      <c r="M503" s="26" t="s">
        <v>37</v>
      </c>
      <c r="N503" s="24" t="s">
        <v>2364</v>
      </c>
      <c r="O503" s="24" t="s">
        <v>3164</v>
      </c>
      <c r="P503" s="27"/>
      <c r="Q503" s="27"/>
      <c r="R503" s="31" t="s">
        <v>3785</v>
      </c>
      <c r="S503" s="33" t="s">
        <v>3786</v>
      </c>
      <c r="T503" s="29" t="e">
        <v>#N/A</v>
      </c>
      <c r="U503" s="24"/>
    </row>
    <row r="504" hidden="1">
      <c r="A504" s="30">
        <v>7.616500647251E12</v>
      </c>
      <c r="B504" s="20" t="s">
        <v>5229</v>
      </c>
      <c r="C504" s="21">
        <v>0.093</v>
      </c>
      <c r="D504" s="21">
        <v>0.175</v>
      </c>
      <c r="E504" s="21">
        <v>0.015</v>
      </c>
      <c r="F504" s="22">
        <v>20.0</v>
      </c>
      <c r="G504" s="23"/>
      <c r="H504" s="24" t="s">
        <v>1472</v>
      </c>
      <c r="I504" s="21" t="s">
        <v>5230</v>
      </c>
      <c r="J504" s="24" t="s">
        <v>1489</v>
      </c>
      <c r="K504" s="21" t="s">
        <v>1490</v>
      </c>
      <c r="L504" s="25" t="s">
        <v>1491</v>
      </c>
      <c r="M504" s="26" t="s">
        <v>28</v>
      </c>
      <c r="N504" s="24" t="s">
        <v>626</v>
      </c>
      <c r="O504" s="24" t="s">
        <v>627</v>
      </c>
      <c r="P504" s="27"/>
      <c r="Q504" s="27"/>
      <c r="R504" s="28" t="s">
        <v>1492</v>
      </c>
      <c r="S504" s="8" t="s">
        <v>1493</v>
      </c>
      <c r="T504" s="29" t="s">
        <v>1479</v>
      </c>
      <c r="U504" s="24"/>
    </row>
    <row r="505" hidden="1">
      <c r="A505" s="30">
        <v>7.616500646087E12</v>
      </c>
      <c r="B505" s="20" t="s">
        <v>5231</v>
      </c>
      <c r="C505" s="21">
        <v>0.097</v>
      </c>
      <c r="D505" s="21">
        <v>0.18</v>
      </c>
      <c r="E505" s="21">
        <v>0.008</v>
      </c>
      <c r="F505" s="22">
        <v>38.0</v>
      </c>
      <c r="G505" s="23"/>
      <c r="H505" s="24" t="s">
        <v>1472</v>
      </c>
      <c r="I505" s="21" t="s">
        <v>5230</v>
      </c>
      <c r="J505" s="24" t="s">
        <v>1474</v>
      </c>
      <c r="K505" s="21" t="s">
        <v>1475</v>
      </c>
      <c r="L505" s="25" t="s">
        <v>1476</v>
      </c>
      <c r="M505" s="26" t="s">
        <v>28</v>
      </c>
      <c r="N505" s="24" t="s">
        <v>626</v>
      </c>
      <c r="O505" s="24" t="s">
        <v>649</v>
      </c>
      <c r="P505" s="27"/>
      <c r="Q505" s="27"/>
      <c r="R505" s="28" t="s">
        <v>1477</v>
      </c>
      <c r="S505" s="8" t="s">
        <v>1478</v>
      </c>
      <c r="T505" s="29" t="s">
        <v>1479</v>
      </c>
      <c r="U505" s="24"/>
    </row>
    <row r="506" hidden="1">
      <c r="A506" s="30">
        <v>7.616500553484E12</v>
      </c>
      <c r="B506" s="20" t="s">
        <v>5232</v>
      </c>
      <c r="C506" s="21">
        <v>0.097</v>
      </c>
      <c r="D506" s="21">
        <v>0.18</v>
      </c>
      <c r="E506" s="21">
        <v>0.008</v>
      </c>
      <c r="F506" s="22">
        <v>38.0</v>
      </c>
      <c r="G506" s="23"/>
      <c r="H506" s="24" t="s">
        <v>1472</v>
      </c>
      <c r="I506" s="21" t="s">
        <v>5230</v>
      </c>
      <c r="J506" s="24" t="s">
        <v>1481</v>
      </c>
      <c r="K506" s="21" t="s">
        <v>1482</v>
      </c>
      <c r="L506" s="25" t="s">
        <v>1483</v>
      </c>
      <c r="M506" s="26" t="s">
        <v>28</v>
      </c>
      <c r="N506" s="24" t="s">
        <v>1484</v>
      </c>
      <c r="O506" s="24" t="s">
        <v>1485</v>
      </c>
      <c r="P506" s="27"/>
      <c r="Q506" s="27"/>
      <c r="R506" s="28" t="s">
        <v>1486</v>
      </c>
      <c r="S506" s="8" t="s">
        <v>1487</v>
      </c>
      <c r="T506" s="29" t="s">
        <v>1479</v>
      </c>
      <c r="U506" s="24"/>
    </row>
    <row r="507" hidden="1">
      <c r="A507" s="30">
        <v>7.61650055346E12</v>
      </c>
      <c r="B507" s="20" t="s">
        <v>5233</v>
      </c>
      <c r="C507" s="21">
        <v>0.097</v>
      </c>
      <c r="D507" s="21">
        <v>0.18</v>
      </c>
      <c r="E507" s="21">
        <v>0.008</v>
      </c>
      <c r="F507" s="22">
        <v>38.0</v>
      </c>
      <c r="G507" s="23"/>
      <c r="H507" s="24" t="s">
        <v>1472</v>
      </c>
      <c r="I507" s="21" t="s">
        <v>5230</v>
      </c>
      <c r="J507" s="24" t="s">
        <v>1495</v>
      </c>
      <c r="K507" s="21" t="s">
        <v>1496</v>
      </c>
      <c r="L507" s="25" t="s">
        <v>1497</v>
      </c>
      <c r="M507" s="26" t="s">
        <v>28</v>
      </c>
      <c r="N507" s="24" t="s">
        <v>1484</v>
      </c>
      <c r="O507" s="24" t="s">
        <v>1498</v>
      </c>
      <c r="P507" s="27"/>
      <c r="Q507" s="27"/>
      <c r="R507" s="28" t="s">
        <v>1499</v>
      </c>
      <c r="S507" s="8" t="s">
        <v>1500</v>
      </c>
      <c r="T507" s="29" t="s">
        <v>1479</v>
      </c>
      <c r="U507" s="24"/>
    </row>
    <row r="508" hidden="1">
      <c r="A508" s="30">
        <v>3.179730011024E12</v>
      </c>
      <c r="B508" s="20" t="s">
        <v>3372</v>
      </c>
      <c r="C508" s="21">
        <v>0.057</v>
      </c>
      <c r="D508" s="21">
        <v>0.14</v>
      </c>
      <c r="E508" s="21">
        <v>0.057</v>
      </c>
      <c r="F508" s="22">
        <v>5.0</v>
      </c>
      <c r="G508" s="23"/>
      <c r="H508" s="24" t="s">
        <v>3363</v>
      </c>
      <c r="I508" s="21" t="s">
        <v>3364</v>
      </c>
      <c r="J508" s="24" t="s">
        <v>3373</v>
      </c>
      <c r="K508" s="21" t="s">
        <v>3374</v>
      </c>
      <c r="L508" s="25" t="s">
        <v>3375</v>
      </c>
      <c r="M508" s="26" t="s">
        <v>37</v>
      </c>
      <c r="N508" s="24" t="s">
        <v>1385</v>
      </c>
      <c r="O508" s="24" t="s">
        <v>1386</v>
      </c>
      <c r="P508" s="27"/>
      <c r="Q508" s="27"/>
      <c r="R508" s="28" t="s">
        <v>3376</v>
      </c>
      <c r="S508" s="8" t="s">
        <v>3377</v>
      </c>
      <c r="T508" s="29" t="e">
        <v>#N/A</v>
      </c>
      <c r="U508" s="24"/>
    </row>
    <row r="509" hidden="1">
      <c r="A509" s="30">
        <v>7.613036280327E12</v>
      </c>
      <c r="B509" s="20" t="s">
        <v>3362</v>
      </c>
      <c r="C509" s="21">
        <v>0.05</v>
      </c>
      <c r="D509" s="21">
        <v>0.135</v>
      </c>
      <c r="E509" s="21">
        <v>0.05</v>
      </c>
      <c r="F509" s="22">
        <v>6.0</v>
      </c>
      <c r="G509" s="23"/>
      <c r="H509" s="24" t="s">
        <v>3363</v>
      </c>
      <c r="I509" s="21" t="s">
        <v>3364</v>
      </c>
      <c r="J509" s="24" t="s">
        <v>3366</v>
      </c>
      <c r="K509" s="21" t="s">
        <v>3367</v>
      </c>
      <c r="L509" s="25" t="s">
        <v>3368</v>
      </c>
      <c r="M509" s="26" t="s">
        <v>28</v>
      </c>
      <c r="N509" s="24" t="s">
        <v>1351</v>
      </c>
      <c r="O509" s="24" t="s">
        <v>1359</v>
      </c>
      <c r="P509" s="27"/>
      <c r="Q509" s="27"/>
      <c r="R509" s="28" t="s">
        <v>3369</v>
      </c>
      <c r="S509" s="8" t="s">
        <v>3370</v>
      </c>
      <c r="T509" s="29" t="s">
        <v>3371</v>
      </c>
      <c r="U509" s="24"/>
    </row>
    <row r="510" hidden="1">
      <c r="A510" s="30">
        <v>7.613036286008E12</v>
      </c>
      <c r="B510" s="20" t="s">
        <v>3378</v>
      </c>
      <c r="C510" s="21">
        <v>0.05</v>
      </c>
      <c r="D510" s="21">
        <v>0.135</v>
      </c>
      <c r="E510" s="21">
        <v>0.05</v>
      </c>
      <c r="F510" s="22">
        <v>6.0</v>
      </c>
      <c r="G510" s="23"/>
      <c r="H510" s="24" t="s">
        <v>3363</v>
      </c>
      <c r="I510" s="21" t="s">
        <v>3364</v>
      </c>
      <c r="J510" s="24" t="s">
        <v>3379</v>
      </c>
      <c r="K510" s="21" t="s">
        <v>3380</v>
      </c>
      <c r="L510" s="25" t="s">
        <v>3381</v>
      </c>
      <c r="M510" s="26" t="s">
        <v>28</v>
      </c>
      <c r="N510" s="24" t="s">
        <v>1351</v>
      </c>
      <c r="O510" s="24" t="s">
        <v>1359</v>
      </c>
      <c r="P510" s="27"/>
      <c r="Q510" s="27"/>
      <c r="R510" s="28" t="s">
        <v>3382</v>
      </c>
      <c r="S510" s="8" t="s">
        <v>3383</v>
      </c>
      <c r="T510" s="29" t="s">
        <v>3371</v>
      </c>
      <c r="U510" s="24"/>
    </row>
    <row r="511" hidden="1">
      <c r="A511" s="30">
        <v>7.290006984647E12</v>
      </c>
      <c r="B511" s="20" t="s">
        <v>5234</v>
      </c>
      <c r="C511" s="21">
        <v>0.14</v>
      </c>
      <c r="D511" s="21">
        <v>0.22</v>
      </c>
      <c r="E511" s="21">
        <v>0.05</v>
      </c>
      <c r="F511" s="22">
        <v>6.0</v>
      </c>
      <c r="G511" s="23"/>
      <c r="H511" s="24" t="s">
        <v>5235</v>
      </c>
      <c r="I511" s="21" t="s">
        <v>3617</v>
      </c>
      <c r="J511" s="24" t="s">
        <v>3692</v>
      </c>
      <c r="K511" s="21" t="s">
        <v>3693</v>
      </c>
      <c r="L511" s="25" t="s">
        <v>3694</v>
      </c>
      <c r="M511" s="26" t="s">
        <v>37</v>
      </c>
      <c r="N511" s="24" t="s">
        <v>954</v>
      </c>
      <c r="O511" s="24" t="s">
        <v>1303</v>
      </c>
      <c r="P511" s="27"/>
      <c r="Q511" s="27"/>
      <c r="R511" s="28" t="s">
        <v>3695</v>
      </c>
      <c r="S511" s="8" t="s">
        <v>3696</v>
      </c>
      <c r="T511" s="29" t="e">
        <v>#N/A</v>
      </c>
      <c r="U511" s="24"/>
    </row>
    <row r="512" hidden="1">
      <c r="A512" s="30">
        <v>7.290000078762E12</v>
      </c>
      <c r="B512" s="20" t="s">
        <v>5236</v>
      </c>
      <c r="C512" s="21">
        <v>0.14</v>
      </c>
      <c r="D512" s="21">
        <v>0.22</v>
      </c>
      <c r="E512" s="21">
        <v>0.05</v>
      </c>
      <c r="F512" s="22">
        <v>6.0</v>
      </c>
      <c r="G512" s="23"/>
      <c r="H512" s="24" t="s">
        <v>5235</v>
      </c>
      <c r="I512" s="21" t="s">
        <v>3617</v>
      </c>
      <c r="J512" s="24" t="s">
        <v>3674</v>
      </c>
      <c r="K512" s="21" t="s">
        <v>3675</v>
      </c>
      <c r="L512" s="25" t="s">
        <v>3676</v>
      </c>
      <c r="M512" s="26" t="s">
        <v>37</v>
      </c>
      <c r="N512" s="24" t="s">
        <v>954</v>
      </c>
      <c r="O512" s="24" t="s">
        <v>1303</v>
      </c>
      <c r="P512" s="27"/>
      <c r="Q512" s="27"/>
      <c r="R512" s="28" t="s">
        <v>3677</v>
      </c>
      <c r="S512" s="8" t="s">
        <v>3678</v>
      </c>
      <c r="T512" s="29" t="e">
        <v>#N/A</v>
      </c>
      <c r="U512" s="24"/>
    </row>
    <row r="513" hidden="1">
      <c r="A513" s="30">
        <v>2043126.0</v>
      </c>
      <c r="B513" s="20" t="s">
        <v>3615</v>
      </c>
      <c r="C513" s="21">
        <v>0.15</v>
      </c>
      <c r="D513" s="21">
        <v>0.09999999</v>
      </c>
      <c r="E513" s="21">
        <v>0.03</v>
      </c>
      <c r="F513" s="22">
        <v>10.0</v>
      </c>
      <c r="G513" s="23"/>
      <c r="H513" s="24" t="s">
        <v>5235</v>
      </c>
      <c r="I513" s="21" t="s">
        <v>3617</v>
      </c>
      <c r="J513" s="24" t="s">
        <v>3618</v>
      </c>
      <c r="K513" s="21" t="s">
        <v>3619</v>
      </c>
      <c r="L513" s="25" t="s">
        <v>3620</v>
      </c>
      <c r="M513" s="26" t="s">
        <v>28</v>
      </c>
      <c r="N513" s="24" t="s">
        <v>954</v>
      </c>
      <c r="O513" s="24" t="s">
        <v>1303</v>
      </c>
      <c r="P513" s="27"/>
      <c r="Q513" s="27"/>
      <c r="R513" s="28" t="s">
        <v>3621</v>
      </c>
      <c r="S513" s="8" t="s">
        <v>3622</v>
      </c>
      <c r="T513" s="29" t="s">
        <v>3623</v>
      </c>
      <c r="U513" s="24"/>
    </row>
    <row r="514" hidden="1">
      <c r="A514" s="30">
        <v>2043072.0</v>
      </c>
      <c r="B514" s="20" t="s">
        <v>3636</v>
      </c>
      <c r="C514" s="21">
        <v>0.12</v>
      </c>
      <c r="D514" s="21">
        <v>0.14</v>
      </c>
      <c r="E514" s="21">
        <v>0.03</v>
      </c>
      <c r="F514" s="22">
        <v>10.0</v>
      </c>
      <c r="G514" s="23"/>
      <c r="H514" s="24" t="s">
        <v>5235</v>
      </c>
      <c r="I514" s="21" t="s">
        <v>3617</v>
      </c>
      <c r="J514" s="24" t="s">
        <v>3637</v>
      </c>
      <c r="K514" s="21" t="s">
        <v>3638</v>
      </c>
      <c r="L514" s="25" t="s">
        <v>3639</v>
      </c>
      <c r="M514" s="26" t="s">
        <v>28</v>
      </c>
      <c r="N514" s="24" t="s">
        <v>954</v>
      </c>
      <c r="O514" s="24" t="s">
        <v>1303</v>
      </c>
      <c r="P514" s="27"/>
      <c r="Q514" s="27"/>
      <c r="R514" s="28" t="s">
        <v>3640</v>
      </c>
      <c r="S514" s="8" t="s">
        <v>3641</v>
      </c>
      <c r="T514" s="29" t="s">
        <v>3623</v>
      </c>
      <c r="U514" s="24"/>
    </row>
    <row r="515" hidden="1">
      <c r="A515" s="30">
        <v>2043096.0</v>
      </c>
      <c r="B515" s="20" t="s">
        <v>3648</v>
      </c>
      <c r="C515" s="21">
        <v>0.12</v>
      </c>
      <c r="D515" s="21">
        <v>0.14</v>
      </c>
      <c r="E515" s="21">
        <v>0.03</v>
      </c>
      <c r="F515" s="22">
        <v>10.0</v>
      </c>
      <c r="G515" s="23"/>
      <c r="H515" s="24" t="s">
        <v>5235</v>
      </c>
      <c r="I515" s="21" t="s">
        <v>3617</v>
      </c>
      <c r="J515" s="24" t="s">
        <v>3649</v>
      </c>
      <c r="K515" s="21" t="s">
        <v>3650</v>
      </c>
      <c r="L515" s="25" t="s">
        <v>3651</v>
      </c>
      <c r="M515" s="26" t="s">
        <v>28</v>
      </c>
      <c r="N515" s="24" t="s">
        <v>954</v>
      </c>
      <c r="O515" s="24" t="s">
        <v>1303</v>
      </c>
      <c r="P515" s="27"/>
      <c r="Q515" s="27"/>
      <c r="R515" s="28" t="s">
        <v>3652</v>
      </c>
      <c r="S515" s="8" t="s">
        <v>3653</v>
      </c>
      <c r="T515" s="29" t="s">
        <v>3623</v>
      </c>
      <c r="U515" s="24"/>
    </row>
    <row r="516" hidden="1">
      <c r="A516" s="30">
        <v>2043065.0</v>
      </c>
      <c r="B516" s="20" t="s">
        <v>3624</v>
      </c>
      <c r="C516" s="21">
        <v>0.12</v>
      </c>
      <c r="D516" s="21">
        <v>0.14</v>
      </c>
      <c r="E516" s="21">
        <v>0.03</v>
      </c>
      <c r="F516" s="22">
        <v>10.0</v>
      </c>
      <c r="G516" s="23"/>
      <c r="H516" s="24" t="s">
        <v>5235</v>
      </c>
      <c r="I516" s="21" t="s">
        <v>3617</v>
      </c>
      <c r="J516" s="24" t="s">
        <v>3625</v>
      </c>
      <c r="K516" s="21" t="s">
        <v>3626</v>
      </c>
      <c r="L516" s="25" t="s">
        <v>3627</v>
      </c>
      <c r="M516" s="26" t="s">
        <v>28</v>
      </c>
      <c r="N516" s="24" t="s">
        <v>954</v>
      </c>
      <c r="O516" s="24" t="s">
        <v>1303</v>
      </c>
      <c r="P516" s="27"/>
      <c r="Q516" s="27"/>
      <c r="R516" s="31" t="s">
        <v>3628</v>
      </c>
      <c r="S516" s="8" t="s">
        <v>3629</v>
      </c>
      <c r="T516" s="29" t="s">
        <v>3623</v>
      </c>
      <c r="U516" s="24"/>
    </row>
    <row r="517" hidden="1">
      <c r="A517" s="30">
        <v>2043812.0</v>
      </c>
      <c r="B517" s="20" t="s">
        <v>3654</v>
      </c>
      <c r="C517" s="21">
        <v>0.15</v>
      </c>
      <c r="D517" s="21">
        <v>0.09999999</v>
      </c>
      <c r="E517" s="21">
        <v>0.03</v>
      </c>
      <c r="F517" s="22">
        <v>10.0</v>
      </c>
      <c r="G517" s="23"/>
      <c r="H517" s="24" t="s">
        <v>5235</v>
      </c>
      <c r="I517" s="21" t="s">
        <v>3617</v>
      </c>
      <c r="J517" s="24" t="s">
        <v>3655</v>
      </c>
      <c r="K517" s="21" t="s">
        <v>3656</v>
      </c>
      <c r="L517" s="25" t="s">
        <v>3657</v>
      </c>
      <c r="M517" s="26" t="s">
        <v>28</v>
      </c>
      <c r="N517" s="24" t="s">
        <v>954</v>
      </c>
      <c r="O517" s="24" t="s">
        <v>1303</v>
      </c>
      <c r="P517" s="27"/>
      <c r="Q517" s="27"/>
      <c r="R517" s="28" t="s">
        <v>3658</v>
      </c>
      <c r="S517" s="8" t="s">
        <v>3659</v>
      </c>
      <c r="T517" s="29" t="s">
        <v>3623</v>
      </c>
      <c r="U517" s="24"/>
    </row>
    <row r="518" hidden="1">
      <c r="A518" s="30">
        <v>2043034.0</v>
      </c>
      <c r="B518" s="20" t="s">
        <v>3630</v>
      </c>
      <c r="C518" s="21">
        <v>0.13</v>
      </c>
      <c r="D518" s="21">
        <v>0.09</v>
      </c>
      <c r="E518" s="21">
        <v>0.03</v>
      </c>
      <c r="F518" s="22">
        <v>10.0</v>
      </c>
      <c r="G518" s="23"/>
      <c r="H518" s="24" t="s">
        <v>5235</v>
      </c>
      <c r="I518" s="21" t="s">
        <v>3617</v>
      </c>
      <c r="J518" s="24" t="s">
        <v>3631</v>
      </c>
      <c r="K518" s="21" t="s">
        <v>3632</v>
      </c>
      <c r="L518" s="25" t="s">
        <v>3633</v>
      </c>
      <c r="M518" s="26" t="s">
        <v>28</v>
      </c>
      <c r="N518" s="24" t="s">
        <v>954</v>
      </c>
      <c r="O518" s="24" t="s">
        <v>1303</v>
      </c>
      <c r="P518" s="27"/>
      <c r="Q518" s="27"/>
      <c r="R518" s="28" t="s">
        <v>3634</v>
      </c>
      <c r="S518" s="8" t="s">
        <v>3635</v>
      </c>
      <c r="T518" s="29" t="s">
        <v>3623</v>
      </c>
      <c r="U518" s="24"/>
    </row>
    <row r="519" hidden="1">
      <c r="A519" s="30">
        <v>2043058.0</v>
      </c>
      <c r="B519" s="20" t="s">
        <v>3642</v>
      </c>
      <c r="C519" s="21">
        <v>0.13</v>
      </c>
      <c r="D519" s="21">
        <v>0.09</v>
      </c>
      <c r="E519" s="21">
        <v>0.03</v>
      </c>
      <c r="F519" s="22">
        <v>10.0</v>
      </c>
      <c r="G519" s="23"/>
      <c r="H519" s="24" t="s">
        <v>5235</v>
      </c>
      <c r="I519" s="21" t="s">
        <v>3617</v>
      </c>
      <c r="J519" s="24" t="s">
        <v>3643</v>
      </c>
      <c r="K519" s="21" t="s">
        <v>3644</v>
      </c>
      <c r="L519" s="25" t="s">
        <v>3645</v>
      </c>
      <c r="M519" s="26" t="s">
        <v>28</v>
      </c>
      <c r="N519" s="24" t="s">
        <v>954</v>
      </c>
      <c r="O519" s="24" t="s">
        <v>1303</v>
      </c>
      <c r="P519" s="27"/>
      <c r="Q519" s="27"/>
      <c r="R519" s="28" t="s">
        <v>3646</v>
      </c>
      <c r="S519" s="8" t="s">
        <v>3647</v>
      </c>
      <c r="T519" s="29" t="s">
        <v>3623</v>
      </c>
      <c r="U519" s="24"/>
    </row>
    <row r="520" hidden="1">
      <c r="A520" s="30">
        <v>7.290000060071E12</v>
      </c>
      <c r="B520" s="20" t="s">
        <v>5237</v>
      </c>
      <c r="C520" s="21">
        <v>0.14</v>
      </c>
      <c r="D520" s="21">
        <v>0.22</v>
      </c>
      <c r="E520" s="21">
        <v>0.05</v>
      </c>
      <c r="F520" s="22">
        <v>6.0</v>
      </c>
      <c r="G520" s="23"/>
      <c r="H520" s="24" t="s">
        <v>5235</v>
      </c>
      <c r="I520" s="21" t="s">
        <v>3617</v>
      </c>
      <c r="J520" s="24" t="s">
        <v>3668</v>
      </c>
      <c r="K520" s="21" t="s">
        <v>3669</v>
      </c>
      <c r="L520" s="25" t="s">
        <v>3670</v>
      </c>
      <c r="M520" s="26" t="s">
        <v>37</v>
      </c>
      <c r="N520" s="24" t="s">
        <v>954</v>
      </c>
      <c r="O520" s="24" t="s">
        <v>1303</v>
      </c>
      <c r="P520" s="27"/>
      <c r="Q520" s="27"/>
      <c r="R520" s="28" t="s">
        <v>3671</v>
      </c>
      <c r="S520" s="8" t="s">
        <v>3672</v>
      </c>
      <c r="T520" s="29" t="e">
        <v>#N/A</v>
      </c>
      <c r="U520" s="24"/>
    </row>
    <row r="521" hidden="1">
      <c r="A521" s="30">
        <v>7.290000068343E12</v>
      </c>
      <c r="B521" s="20" t="s">
        <v>5238</v>
      </c>
      <c r="C521" s="21">
        <v>0.09</v>
      </c>
      <c r="D521" s="21">
        <v>0.235</v>
      </c>
      <c r="E521" s="21">
        <v>0.09</v>
      </c>
      <c r="F521" s="22">
        <v>3.0</v>
      </c>
      <c r="G521" s="23"/>
      <c r="H521" s="24" t="s">
        <v>5235</v>
      </c>
      <c r="I521" s="21" t="s">
        <v>3617</v>
      </c>
      <c r="J521" s="24" t="s">
        <v>3662</v>
      </c>
      <c r="K521" s="21" t="s">
        <v>3663</v>
      </c>
      <c r="L521" s="25" t="s">
        <v>3664</v>
      </c>
      <c r="M521" s="26" t="s">
        <v>37</v>
      </c>
      <c r="N521" s="24" t="s">
        <v>954</v>
      </c>
      <c r="O521" s="24" t="s">
        <v>1303</v>
      </c>
      <c r="P521" s="27"/>
      <c r="Q521" s="27"/>
      <c r="R521" s="28" t="s">
        <v>3665</v>
      </c>
      <c r="S521" s="8" t="s">
        <v>3666</v>
      </c>
      <c r="T521" s="29" t="e">
        <v>#N/A</v>
      </c>
      <c r="U521" s="24"/>
    </row>
    <row r="522" hidden="1">
      <c r="A522" s="30">
        <v>7.290107933117E12</v>
      </c>
      <c r="B522" s="20" t="s">
        <v>3591</v>
      </c>
      <c r="C522" s="21">
        <v>0.09999999</v>
      </c>
      <c r="D522" s="21">
        <v>0.26</v>
      </c>
      <c r="E522" s="21">
        <v>0.09999999</v>
      </c>
      <c r="F522" s="22">
        <v>3.0</v>
      </c>
      <c r="G522" s="23"/>
      <c r="H522" s="24" t="s">
        <v>5239</v>
      </c>
      <c r="I522" s="21" t="s">
        <v>1298</v>
      </c>
      <c r="J522" s="24" t="s">
        <v>3592</v>
      </c>
      <c r="K522" s="21" t="s">
        <v>3593</v>
      </c>
      <c r="L522" s="25" t="s">
        <v>3594</v>
      </c>
      <c r="M522" s="26" t="s">
        <v>28</v>
      </c>
      <c r="N522" s="24" t="s">
        <v>954</v>
      </c>
      <c r="O522" s="24" t="s">
        <v>3588</v>
      </c>
      <c r="P522" s="27"/>
      <c r="Q522" s="27"/>
      <c r="R522" s="31" t="s">
        <v>3595</v>
      </c>
      <c r="S522" s="8" t="s">
        <v>3596</v>
      </c>
      <c r="T522" s="29" t="s">
        <v>1306</v>
      </c>
      <c r="U522" s="24"/>
    </row>
    <row r="523" hidden="1">
      <c r="A523" s="30">
        <v>7.2901079331E12</v>
      </c>
      <c r="B523" s="20" t="s">
        <v>3584</v>
      </c>
      <c r="C523" s="21">
        <v>0.09999999</v>
      </c>
      <c r="D523" s="21">
        <v>0.26</v>
      </c>
      <c r="E523" s="21">
        <v>0.09999999</v>
      </c>
      <c r="F523" s="22">
        <v>3.0</v>
      </c>
      <c r="G523" s="23"/>
      <c r="H523" s="24" t="s">
        <v>5239</v>
      </c>
      <c r="I523" s="21" t="s">
        <v>1298</v>
      </c>
      <c r="J523" s="24" t="s">
        <v>3585</v>
      </c>
      <c r="K523" s="21" t="s">
        <v>3586</v>
      </c>
      <c r="L523" s="25" t="s">
        <v>3587</v>
      </c>
      <c r="M523" s="26" t="s">
        <v>28</v>
      </c>
      <c r="N523" s="24" t="s">
        <v>954</v>
      </c>
      <c r="O523" s="24" t="s">
        <v>3588</v>
      </c>
      <c r="P523" s="27"/>
      <c r="Q523" s="27"/>
      <c r="R523" s="31" t="s">
        <v>3589</v>
      </c>
      <c r="S523" s="33" t="s">
        <v>3590</v>
      </c>
      <c r="T523" s="29" t="s">
        <v>1306</v>
      </c>
      <c r="U523" s="24"/>
    </row>
    <row r="524" hidden="1">
      <c r="A524" s="30">
        <v>7.290107953917E12</v>
      </c>
      <c r="B524" s="20" t="s">
        <v>3603</v>
      </c>
      <c r="C524" s="21">
        <v>0.09999999</v>
      </c>
      <c r="D524" s="21">
        <v>0.26</v>
      </c>
      <c r="E524" s="21">
        <v>0.09999999</v>
      </c>
      <c r="F524" s="22">
        <v>3.0</v>
      </c>
      <c r="G524" s="23"/>
      <c r="H524" s="24" t="s">
        <v>5239</v>
      </c>
      <c r="I524" s="21" t="s">
        <v>1298</v>
      </c>
      <c r="J524" s="24" t="s">
        <v>3604</v>
      </c>
      <c r="K524" s="21" t="s">
        <v>3605</v>
      </c>
      <c r="L524" s="25" t="s">
        <v>3606</v>
      </c>
      <c r="M524" s="26" t="s">
        <v>28</v>
      </c>
      <c r="N524" s="24" t="s">
        <v>954</v>
      </c>
      <c r="O524" s="24" t="s">
        <v>3588</v>
      </c>
      <c r="P524" s="27"/>
      <c r="Q524" s="27"/>
      <c r="R524" s="31" t="s">
        <v>3607</v>
      </c>
      <c r="S524" s="8" t="s">
        <v>3608</v>
      </c>
      <c r="T524" s="29" t="s">
        <v>1306</v>
      </c>
      <c r="U524" s="24"/>
    </row>
    <row r="525" hidden="1">
      <c r="A525" s="30">
        <v>7.290105968777E12</v>
      </c>
      <c r="B525" s="20" t="s">
        <v>3597</v>
      </c>
      <c r="C525" s="21">
        <v>0.13</v>
      </c>
      <c r="D525" s="21">
        <v>0.18</v>
      </c>
      <c r="E525" s="21">
        <v>0.03</v>
      </c>
      <c r="F525" s="22">
        <v>10.0</v>
      </c>
      <c r="G525" s="23"/>
      <c r="H525" s="24" t="s">
        <v>5239</v>
      </c>
      <c r="I525" s="21" t="s">
        <v>1298</v>
      </c>
      <c r="J525" s="24" t="s">
        <v>3598</v>
      </c>
      <c r="K525" s="21" t="s">
        <v>3599</v>
      </c>
      <c r="L525" s="25" t="s">
        <v>3600</v>
      </c>
      <c r="M525" s="26" t="s">
        <v>28</v>
      </c>
      <c r="N525" s="24" t="s">
        <v>954</v>
      </c>
      <c r="O525" s="24" t="s">
        <v>1303</v>
      </c>
      <c r="P525" s="27"/>
      <c r="Q525" s="27"/>
      <c r="R525" s="28" t="s">
        <v>3601</v>
      </c>
      <c r="S525" s="33" t="s">
        <v>3602</v>
      </c>
      <c r="T525" s="29" t="s">
        <v>1306</v>
      </c>
      <c r="U525" s="24"/>
    </row>
    <row r="526" hidden="1">
      <c r="A526" s="30">
        <v>7.290106526822E12</v>
      </c>
      <c r="B526" s="20" t="s">
        <v>3609</v>
      </c>
      <c r="C526" s="21">
        <v>0.13</v>
      </c>
      <c r="D526" s="21">
        <v>0.18</v>
      </c>
      <c r="E526" s="21">
        <v>0.03</v>
      </c>
      <c r="F526" s="22">
        <v>10.0</v>
      </c>
      <c r="G526" s="23"/>
      <c r="H526" s="24" t="s">
        <v>5239</v>
      </c>
      <c r="I526" s="21" t="s">
        <v>1298</v>
      </c>
      <c r="J526" s="24" t="s">
        <v>3610</v>
      </c>
      <c r="K526" s="21" t="s">
        <v>3611</v>
      </c>
      <c r="L526" s="25" t="s">
        <v>3612</v>
      </c>
      <c r="M526" s="26" t="s">
        <v>28</v>
      </c>
      <c r="N526" s="24" t="s">
        <v>954</v>
      </c>
      <c r="O526" s="24" t="s">
        <v>1303</v>
      </c>
      <c r="P526" s="27"/>
      <c r="Q526" s="27"/>
      <c r="R526" s="28" t="s">
        <v>3613</v>
      </c>
      <c r="S526" s="8" t="s">
        <v>3614</v>
      </c>
      <c r="T526" s="29" t="s">
        <v>1306</v>
      </c>
      <c r="U526" s="24"/>
    </row>
    <row r="527" hidden="1">
      <c r="A527" s="30">
        <v>7.290112495983E12</v>
      </c>
      <c r="B527" s="20" t="s">
        <v>5240</v>
      </c>
      <c r="C527" s="21">
        <v>0.09999999</v>
      </c>
      <c r="D527" s="21">
        <v>0.09999999</v>
      </c>
      <c r="E527" s="21">
        <v>0.07</v>
      </c>
      <c r="F527" s="22">
        <v>4.0</v>
      </c>
      <c r="G527" s="23"/>
      <c r="H527" s="24" t="s">
        <v>5239</v>
      </c>
      <c r="I527" s="21" t="s">
        <v>3290</v>
      </c>
      <c r="J527" s="24" t="s">
        <v>3708</v>
      </c>
      <c r="K527" s="21" t="s">
        <v>3709</v>
      </c>
      <c r="L527" s="25" t="s">
        <v>3710</v>
      </c>
      <c r="M527" s="26" t="s">
        <v>28</v>
      </c>
      <c r="N527" s="24" t="s">
        <v>954</v>
      </c>
      <c r="O527" s="24" t="s">
        <v>1303</v>
      </c>
      <c r="P527" s="27"/>
      <c r="Q527" s="27"/>
      <c r="R527" s="28" t="s">
        <v>3711</v>
      </c>
      <c r="S527" s="33" t="s">
        <v>3712</v>
      </c>
      <c r="T527" s="29" t="s">
        <v>3290</v>
      </c>
      <c r="U527" s="24"/>
    </row>
    <row r="528" hidden="1">
      <c r="A528" s="30">
        <v>7.290001045633E12</v>
      </c>
      <c r="B528" s="20" t="s">
        <v>3841</v>
      </c>
      <c r="C528" s="21">
        <v>0.07</v>
      </c>
      <c r="D528" s="21">
        <v>0.19</v>
      </c>
      <c r="E528" s="21">
        <v>0.045</v>
      </c>
      <c r="F528" s="22">
        <v>7.0</v>
      </c>
      <c r="G528" s="23"/>
      <c r="H528" s="24" t="s">
        <v>3842</v>
      </c>
      <c r="I528" s="21" t="s">
        <v>3843</v>
      </c>
      <c r="J528" s="24" t="s">
        <v>3844</v>
      </c>
      <c r="K528" s="21" t="s">
        <v>3845</v>
      </c>
      <c r="L528" s="25" t="s">
        <v>3846</v>
      </c>
      <c r="M528" s="26" t="s">
        <v>37</v>
      </c>
      <c r="N528" s="24" t="s">
        <v>718</v>
      </c>
      <c r="O528" s="24" t="s">
        <v>719</v>
      </c>
      <c r="P528" s="27"/>
      <c r="Q528" s="27"/>
      <c r="R528" s="31" t="s">
        <v>3847</v>
      </c>
      <c r="S528" s="33" t="s">
        <v>3848</v>
      </c>
      <c r="T528" s="29" t="e">
        <v>#N/A</v>
      </c>
      <c r="U528" s="24"/>
    </row>
    <row r="529" hidden="1">
      <c r="A529" s="30">
        <v>7.290001045688E12</v>
      </c>
      <c r="B529" s="20" t="s">
        <v>3855</v>
      </c>
      <c r="C529" s="21">
        <v>0.07</v>
      </c>
      <c r="D529" s="21">
        <v>0.19</v>
      </c>
      <c r="E529" s="21">
        <v>0.045</v>
      </c>
      <c r="F529" s="22">
        <v>7.0</v>
      </c>
      <c r="G529" s="23"/>
      <c r="H529" s="24" t="s">
        <v>3842</v>
      </c>
      <c r="I529" s="21" t="s">
        <v>3843</v>
      </c>
      <c r="J529" s="24" t="s">
        <v>3856</v>
      </c>
      <c r="K529" s="21" t="s">
        <v>3857</v>
      </c>
      <c r="L529" s="25" t="s">
        <v>3858</v>
      </c>
      <c r="M529" s="26" t="s">
        <v>37</v>
      </c>
      <c r="N529" s="24" t="s">
        <v>718</v>
      </c>
      <c r="O529" s="24" t="s">
        <v>719</v>
      </c>
      <c r="P529" s="27"/>
      <c r="Q529" s="27"/>
      <c r="R529" s="31" t="s">
        <v>3859</v>
      </c>
      <c r="S529" s="33" t="s">
        <v>3860</v>
      </c>
      <c r="T529" s="29" t="e">
        <v>#N/A</v>
      </c>
      <c r="U529" s="24"/>
    </row>
    <row r="530" hidden="1">
      <c r="A530" s="30">
        <v>7.290001045657E12</v>
      </c>
      <c r="B530" s="20" t="s">
        <v>3849</v>
      </c>
      <c r="C530" s="21">
        <v>0.07</v>
      </c>
      <c r="D530" s="21">
        <v>0.19</v>
      </c>
      <c r="E530" s="21">
        <v>0.045</v>
      </c>
      <c r="F530" s="22">
        <v>7.0</v>
      </c>
      <c r="G530" s="23"/>
      <c r="H530" s="24" t="s">
        <v>3842</v>
      </c>
      <c r="I530" s="21" t="s">
        <v>3843</v>
      </c>
      <c r="J530" s="24" t="s">
        <v>3850</v>
      </c>
      <c r="K530" s="21" t="s">
        <v>3851</v>
      </c>
      <c r="L530" s="25" t="s">
        <v>3852</v>
      </c>
      <c r="M530" s="26" t="s">
        <v>37</v>
      </c>
      <c r="N530" s="24" t="s">
        <v>718</v>
      </c>
      <c r="O530" s="24" t="s">
        <v>719</v>
      </c>
      <c r="P530" s="27"/>
      <c r="Q530" s="27"/>
      <c r="R530" s="31" t="s">
        <v>3853</v>
      </c>
      <c r="S530" s="33" t="s">
        <v>3854</v>
      </c>
      <c r="T530" s="29" t="e">
        <v>#N/A</v>
      </c>
      <c r="U530" s="24"/>
    </row>
    <row r="531" hidden="1">
      <c r="A531" s="30">
        <v>3.8000138416E10</v>
      </c>
      <c r="B531" s="20" t="s">
        <v>3884</v>
      </c>
      <c r="C531" s="21">
        <v>0.08</v>
      </c>
      <c r="D531" s="21">
        <v>0.27</v>
      </c>
      <c r="E531" s="21">
        <v>0.08</v>
      </c>
      <c r="F531" s="22">
        <v>4.0</v>
      </c>
      <c r="G531" s="23"/>
      <c r="H531" s="24" t="s">
        <v>3862</v>
      </c>
      <c r="I531" s="21" t="s">
        <v>3863</v>
      </c>
      <c r="J531" s="24" t="s">
        <v>3885</v>
      </c>
      <c r="K531" s="21" t="s">
        <v>3886</v>
      </c>
      <c r="L531" s="25" t="s">
        <v>3887</v>
      </c>
      <c r="M531" s="26" t="s">
        <v>28</v>
      </c>
      <c r="N531" s="24" t="s">
        <v>109</v>
      </c>
      <c r="O531" s="24" t="s">
        <v>3867</v>
      </c>
      <c r="P531" s="27"/>
      <c r="Q531" s="27"/>
      <c r="R531" s="28" t="s">
        <v>3888</v>
      </c>
      <c r="S531" s="8" t="s">
        <v>3887</v>
      </c>
      <c r="T531" s="29" t="s">
        <v>3863</v>
      </c>
      <c r="U531" s="21" t="s">
        <v>113</v>
      </c>
    </row>
    <row r="532" hidden="1">
      <c r="A532" s="30">
        <v>3.8000845246E10</v>
      </c>
      <c r="B532" s="20" t="s">
        <v>3889</v>
      </c>
      <c r="C532" s="21">
        <v>0.08</v>
      </c>
      <c r="D532" s="21">
        <v>0.13</v>
      </c>
      <c r="E532" s="21">
        <v>0.08</v>
      </c>
      <c r="F532" s="22">
        <v>4.0</v>
      </c>
      <c r="G532" s="23"/>
      <c r="H532" s="24" t="s">
        <v>3862</v>
      </c>
      <c r="I532" s="21" t="s">
        <v>3863</v>
      </c>
      <c r="J532" s="24" t="s">
        <v>3890</v>
      </c>
      <c r="K532" s="21" t="s">
        <v>3891</v>
      </c>
      <c r="L532" s="25" t="s">
        <v>3892</v>
      </c>
      <c r="M532" s="26" t="s">
        <v>28</v>
      </c>
      <c r="N532" s="24" t="s">
        <v>109</v>
      </c>
      <c r="O532" s="24" t="s">
        <v>3867</v>
      </c>
      <c r="P532" s="27"/>
      <c r="Q532" s="27"/>
      <c r="R532" s="28" t="s">
        <v>3893</v>
      </c>
      <c r="S532" s="8" t="s">
        <v>3892</v>
      </c>
      <c r="T532" s="29" t="s">
        <v>3863</v>
      </c>
      <c r="U532" s="21" t="s">
        <v>113</v>
      </c>
    </row>
    <row r="533" hidden="1">
      <c r="A533" s="30">
        <v>3.8000183713E10</v>
      </c>
      <c r="B533" s="20" t="s">
        <v>3861</v>
      </c>
      <c r="C533" s="21">
        <v>0.08</v>
      </c>
      <c r="D533" s="21">
        <v>0.27</v>
      </c>
      <c r="E533" s="21">
        <v>0.08</v>
      </c>
      <c r="F533" s="22">
        <v>4.0</v>
      </c>
      <c r="G533" s="23"/>
      <c r="H533" s="24" t="s">
        <v>3862</v>
      </c>
      <c r="I533" s="21" t="s">
        <v>3863</v>
      </c>
      <c r="J533" s="24" t="s">
        <v>3864</v>
      </c>
      <c r="K533" s="21" t="s">
        <v>3865</v>
      </c>
      <c r="L533" s="25" t="s">
        <v>3866</v>
      </c>
      <c r="M533" s="26" t="s">
        <v>28</v>
      </c>
      <c r="N533" s="24" t="s">
        <v>109</v>
      </c>
      <c r="O533" s="24" t="s">
        <v>3867</v>
      </c>
      <c r="P533" s="27"/>
      <c r="Q533" s="27"/>
      <c r="R533" s="28" t="s">
        <v>3868</v>
      </c>
      <c r="S533" s="8" t="s">
        <v>3866</v>
      </c>
      <c r="T533" s="29" t="s">
        <v>3863</v>
      </c>
      <c r="U533" s="21" t="s">
        <v>113</v>
      </c>
    </row>
    <row r="534" hidden="1">
      <c r="A534" s="30">
        <v>3.800018369E10</v>
      </c>
      <c r="B534" s="20" t="s">
        <v>3879</v>
      </c>
      <c r="C534" s="21">
        <v>0.085</v>
      </c>
      <c r="D534" s="21">
        <v>0.13</v>
      </c>
      <c r="E534" s="21">
        <v>0.08</v>
      </c>
      <c r="F534" s="22">
        <v>4.0</v>
      </c>
      <c r="G534" s="23"/>
      <c r="H534" s="24" t="s">
        <v>3862</v>
      </c>
      <c r="I534" s="21" t="s">
        <v>3863</v>
      </c>
      <c r="J534" s="24" t="s">
        <v>3880</v>
      </c>
      <c r="K534" s="21" t="s">
        <v>3881</v>
      </c>
      <c r="L534" s="25" t="s">
        <v>3882</v>
      </c>
      <c r="M534" s="26" t="s">
        <v>28</v>
      </c>
      <c r="N534" s="24" t="s">
        <v>109</v>
      </c>
      <c r="O534" s="24" t="s">
        <v>3867</v>
      </c>
      <c r="P534" s="27"/>
      <c r="Q534" s="27"/>
      <c r="R534" s="28" t="s">
        <v>3883</v>
      </c>
      <c r="S534" s="8" t="s">
        <v>3882</v>
      </c>
      <c r="T534" s="29" t="s">
        <v>3863</v>
      </c>
      <c r="U534" s="21" t="s">
        <v>113</v>
      </c>
    </row>
    <row r="535" hidden="1">
      <c r="A535" s="30">
        <v>3.8000845253E10</v>
      </c>
      <c r="B535" s="20" t="s">
        <v>3874</v>
      </c>
      <c r="C535" s="21">
        <v>0.08</v>
      </c>
      <c r="D535" s="21">
        <v>0.13</v>
      </c>
      <c r="E535" s="21">
        <v>0.08</v>
      </c>
      <c r="F535" s="22">
        <v>4.0</v>
      </c>
      <c r="G535" s="23"/>
      <c r="H535" s="24" t="s">
        <v>3862</v>
      </c>
      <c r="I535" s="21" t="s">
        <v>3863</v>
      </c>
      <c r="J535" s="24" t="s">
        <v>3875</v>
      </c>
      <c r="K535" s="21" t="s">
        <v>3876</v>
      </c>
      <c r="L535" s="25" t="s">
        <v>3877</v>
      </c>
      <c r="M535" s="26" t="s">
        <v>28</v>
      </c>
      <c r="N535" s="24" t="s">
        <v>109</v>
      </c>
      <c r="O535" s="24" t="s">
        <v>3867</v>
      </c>
      <c r="P535" s="27"/>
      <c r="Q535" s="27"/>
      <c r="R535" s="28" t="s">
        <v>3878</v>
      </c>
      <c r="S535" s="8" t="s">
        <v>3877</v>
      </c>
      <c r="T535" s="29" t="s">
        <v>3863</v>
      </c>
      <c r="U535" s="21" t="s">
        <v>113</v>
      </c>
    </row>
    <row r="536" hidden="1">
      <c r="A536" s="30">
        <v>3.800013843E10</v>
      </c>
      <c r="B536" s="20" t="s">
        <v>3869</v>
      </c>
      <c r="C536" s="21">
        <v>0.08</v>
      </c>
      <c r="D536" s="21">
        <v>0.27</v>
      </c>
      <c r="E536" s="21">
        <v>0.08</v>
      </c>
      <c r="F536" s="22">
        <v>4.0</v>
      </c>
      <c r="G536" s="23"/>
      <c r="H536" s="24" t="s">
        <v>3862</v>
      </c>
      <c r="I536" s="21" t="s">
        <v>3863</v>
      </c>
      <c r="J536" s="24" t="s">
        <v>3870</v>
      </c>
      <c r="K536" s="21" t="s">
        <v>3871</v>
      </c>
      <c r="L536" s="25" t="s">
        <v>3872</v>
      </c>
      <c r="M536" s="26" t="s">
        <v>28</v>
      </c>
      <c r="N536" s="24" t="s">
        <v>109</v>
      </c>
      <c r="O536" s="24" t="s">
        <v>3867</v>
      </c>
      <c r="P536" s="27"/>
      <c r="Q536" s="27"/>
      <c r="R536" s="28" t="s">
        <v>3873</v>
      </c>
      <c r="S536" s="8" t="s">
        <v>3872</v>
      </c>
      <c r="T536" s="29" t="s">
        <v>3863</v>
      </c>
      <c r="U536" s="21" t="s">
        <v>113</v>
      </c>
    </row>
    <row r="537" hidden="1">
      <c r="A537" s="30">
        <v>8.006290803514E12</v>
      </c>
      <c r="B537" s="20" t="s">
        <v>1380</v>
      </c>
      <c r="C537" s="21">
        <v>0.055</v>
      </c>
      <c r="D537" s="21">
        <v>0.21</v>
      </c>
      <c r="E537" s="21">
        <v>0.055</v>
      </c>
      <c r="F537" s="22">
        <v>5.0</v>
      </c>
      <c r="G537" s="23"/>
      <c r="H537" s="24" t="s">
        <v>1381</v>
      </c>
      <c r="I537" s="21" t="s">
        <v>1382</v>
      </c>
      <c r="J537" s="20" t="s">
        <v>1383</v>
      </c>
      <c r="K537" s="21" t="s">
        <v>1383</v>
      </c>
      <c r="L537" s="25" t="s">
        <v>1384</v>
      </c>
      <c r="M537" s="26" t="s">
        <v>28</v>
      </c>
      <c r="N537" s="24" t="s">
        <v>1385</v>
      </c>
      <c r="O537" s="24" t="s">
        <v>1386</v>
      </c>
      <c r="P537" s="27"/>
      <c r="Q537" s="27"/>
      <c r="R537" s="28" t="s">
        <v>1387</v>
      </c>
      <c r="S537" s="8" t="s">
        <v>1388</v>
      </c>
      <c r="T537" s="29" t="s">
        <v>1382</v>
      </c>
      <c r="U537" s="24"/>
    </row>
    <row r="538" hidden="1">
      <c r="A538" s="30">
        <v>7.290112349347E12</v>
      </c>
      <c r="B538" s="20" t="s">
        <v>1465</v>
      </c>
      <c r="C538" s="21">
        <v>0.06</v>
      </c>
      <c r="D538" s="21">
        <v>0.06</v>
      </c>
      <c r="E538" s="21">
        <v>0.015</v>
      </c>
      <c r="F538" s="22">
        <v>20.0</v>
      </c>
      <c r="G538" s="23"/>
      <c r="H538" s="24" t="s">
        <v>1428</v>
      </c>
      <c r="I538" s="21" t="s">
        <v>1429</v>
      </c>
      <c r="J538" s="24" t="s">
        <v>1466</v>
      </c>
      <c r="K538" s="21" t="s">
        <v>1467</v>
      </c>
      <c r="L538" s="25" t="s">
        <v>1468</v>
      </c>
      <c r="M538" s="26" t="s">
        <v>28</v>
      </c>
      <c r="N538" s="24" t="s">
        <v>1433</v>
      </c>
      <c r="O538" s="24" t="s">
        <v>1434</v>
      </c>
      <c r="P538" s="27"/>
      <c r="Q538" s="27"/>
      <c r="R538" s="28" t="s">
        <v>1469</v>
      </c>
      <c r="S538" s="8" t="s">
        <v>1470</v>
      </c>
      <c r="T538" s="29" t="s">
        <v>1437</v>
      </c>
      <c r="U538" s="24"/>
    </row>
    <row r="539" hidden="1">
      <c r="A539" s="30">
        <v>7.290112349354E12</v>
      </c>
      <c r="B539" s="20" t="s">
        <v>1427</v>
      </c>
      <c r="C539" s="21">
        <v>0.06</v>
      </c>
      <c r="D539" s="21">
        <v>0.06</v>
      </c>
      <c r="E539" s="21">
        <v>0.015</v>
      </c>
      <c r="F539" s="22">
        <v>20.0</v>
      </c>
      <c r="G539" s="23"/>
      <c r="H539" s="24" t="s">
        <v>1428</v>
      </c>
      <c r="I539" s="21" t="s">
        <v>1429</v>
      </c>
      <c r="J539" s="24" t="s">
        <v>1430</v>
      </c>
      <c r="K539" s="21" t="s">
        <v>1431</v>
      </c>
      <c r="L539" s="25" t="s">
        <v>1432</v>
      </c>
      <c r="M539" s="26" t="s">
        <v>28</v>
      </c>
      <c r="N539" s="24" t="s">
        <v>1433</v>
      </c>
      <c r="O539" s="24" t="s">
        <v>1434</v>
      </c>
      <c r="P539" s="27"/>
      <c r="Q539" s="27"/>
      <c r="R539" s="28" t="s">
        <v>1435</v>
      </c>
      <c r="S539" s="8" t="s">
        <v>1436</v>
      </c>
      <c r="T539" s="29" t="s">
        <v>1437</v>
      </c>
      <c r="U539" s="24"/>
    </row>
    <row r="540" hidden="1">
      <c r="A540" s="30">
        <v>7.290112349378E12</v>
      </c>
      <c r="B540" s="20" t="s">
        <v>1438</v>
      </c>
      <c r="C540" s="21">
        <v>0.06</v>
      </c>
      <c r="D540" s="21">
        <v>0.06</v>
      </c>
      <c r="E540" s="21">
        <v>0.015</v>
      </c>
      <c r="F540" s="22">
        <v>20.0</v>
      </c>
      <c r="G540" s="23"/>
      <c r="H540" s="24" t="s">
        <v>1428</v>
      </c>
      <c r="I540" s="21" t="s">
        <v>1429</v>
      </c>
      <c r="J540" s="24" t="s">
        <v>1439</v>
      </c>
      <c r="K540" s="21" t="s">
        <v>1440</v>
      </c>
      <c r="L540" s="25" t="s">
        <v>1441</v>
      </c>
      <c r="M540" s="26" t="s">
        <v>28</v>
      </c>
      <c r="N540" s="24" t="s">
        <v>1433</v>
      </c>
      <c r="O540" s="24" t="s">
        <v>1434</v>
      </c>
      <c r="P540" s="27"/>
      <c r="Q540" s="27"/>
      <c r="R540" s="28" t="s">
        <v>1442</v>
      </c>
      <c r="S540" s="8" t="s">
        <v>1443</v>
      </c>
      <c r="T540" s="29" t="s">
        <v>1437</v>
      </c>
      <c r="U540" s="24"/>
    </row>
    <row r="541" hidden="1">
      <c r="A541" s="30">
        <v>6.928542902795E12</v>
      </c>
      <c r="B541" s="20" t="s">
        <v>1444</v>
      </c>
      <c r="C541" s="21">
        <v>0.08</v>
      </c>
      <c r="D541" s="21">
        <v>0.08</v>
      </c>
      <c r="E541" s="21">
        <v>0.01</v>
      </c>
      <c r="F541" s="22">
        <v>30.0</v>
      </c>
      <c r="G541" s="23"/>
      <c r="H541" s="24" t="s">
        <v>1428</v>
      </c>
      <c r="I541" s="21" t="s">
        <v>1445</v>
      </c>
      <c r="J541" s="24" t="s">
        <v>1447</v>
      </c>
      <c r="K541" s="21" t="s">
        <v>1448</v>
      </c>
      <c r="L541" s="25" t="s">
        <v>1449</v>
      </c>
      <c r="M541" s="26" t="s">
        <v>28</v>
      </c>
      <c r="N541" s="24" t="s">
        <v>1433</v>
      </c>
      <c r="O541" s="24" t="s">
        <v>1450</v>
      </c>
      <c r="P541" s="27"/>
      <c r="Q541" s="27"/>
      <c r="R541" s="28" t="s">
        <v>1451</v>
      </c>
      <c r="S541" s="8" t="s">
        <v>1452</v>
      </c>
      <c r="T541" s="29" t="s">
        <v>1445</v>
      </c>
      <c r="U541" s="24"/>
    </row>
    <row r="542" hidden="1">
      <c r="A542" s="30">
        <v>6.928542902801E12</v>
      </c>
      <c r="B542" s="20" t="s">
        <v>1459</v>
      </c>
      <c r="C542" s="21">
        <v>0.08</v>
      </c>
      <c r="D542" s="21">
        <v>0.08</v>
      </c>
      <c r="E542" s="21">
        <v>0.01</v>
      </c>
      <c r="F542" s="22">
        <v>30.0</v>
      </c>
      <c r="G542" s="23"/>
      <c r="H542" s="24" t="s">
        <v>1428</v>
      </c>
      <c r="I542" s="21" t="s">
        <v>1445</v>
      </c>
      <c r="J542" s="24" t="s">
        <v>1460</v>
      </c>
      <c r="K542" s="21" t="s">
        <v>1461</v>
      </c>
      <c r="L542" s="25" t="s">
        <v>1462</v>
      </c>
      <c r="M542" s="26" t="s">
        <v>28</v>
      </c>
      <c r="N542" s="24" t="s">
        <v>1433</v>
      </c>
      <c r="O542" s="24" t="s">
        <v>1450</v>
      </c>
      <c r="P542" s="27"/>
      <c r="Q542" s="27"/>
      <c r="R542" s="28" t="s">
        <v>1463</v>
      </c>
      <c r="S542" s="8" t="s">
        <v>1464</v>
      </c>
      <c r="T542" s="29" t="s">
        <v>1445</v>
      </c>
      <c r="U542" s="24"/>
    </row>
    <row r="543" hidden="1">
      <c r="A543" s="30">
        <v>6.928542902818E12</v>
      </c>
      <c r="B543" s="20" t="s">
        <v>1453</v>
      </c>
      <c r="C543" s="21">
        <v>0.08</v>
      </c>
      <c r="D543" s="21">
        <v>0.08</v>
      </c>
      <c r="E543" s="21">
        <v>0.01</v>
      </c>
      <c r="F543" s="22">
        <v>30.0</v>
      </c>
      <c r="G543" s="23"/>
      <c r="H543" s="24" t="s">
        <v>1428</v>
      </c>
      <c r="I543" s="21" t="s">
        <v>1445</v>
      </c>
      <c r="J543" s="24" t="s">
        <v>1454</v>
      </c>
      <c r="K543" s="21" t="s">
        <v>1455</v>
      </c>
      <c r="L543" s="25" t="s">
        <v>1456</v>
      </c>
      <c r="M543" s="26" t="s">
        <v>28</v>
      </c>
      <c r="N543" s="24" t="s">
        <v>1433</v>
      </c>
      <c r="O543" s="24" t="s">
        <v>1450</v>
      </c>
      <c r="P543" s="27"/>
      <c r="Q543" s="27"/>
      <c r="R543" s="28" t="s">
        <v>1457</v>
      </c>
      <c r="S543" s="8" t="s">
        <v>1458</v>
      </c>
      <c r="T543" s="29" t="s">
        <v>1445</v>
      </c>
      <c r="U543" s="24"/>
    </row>
    <row r="544" hidden="1">
      <c r="A544" s="30">
        <v>7.290115200027E12</v>
      </c>
      <c r="B544" s="20" t="s">
        <v>3438</v>
      </c>
      <c r="C544" s="21">
        <v>0.235</v>
      </c>
      <c r="D544" s="21">
        <v>0.105</v>
      </c>
      <c r="E544" s="21">
        <v>0.045</v>
      </c>
      <c r="F544" s="22">
        <v>7.0</v>
      </c>
      <c r="G544" s="23"/>
      <c r="H544" s="24" t="s">
        <v>3439</v>
      </c>
      <c r="I544" s="21" t="s">
        <v>3440</v>
      </c>
      <c r="J544" s="24" t="s">
        <v>3441</v>
      </c>
      <c r="K544" s="21" t="s">
        <v>3442</v>
      </c>
      <c r="L544" s="25" t="s">
        <v>3443</v>
      </c>
      <c r="M544" s="26" t="s">
        <v>28</v>
      </c>
      <c r="N544" s="24" t="s">
        <v>3439</v>
      </c>
      <c r="O544" s="24" t="s">
        <v>3444</v>
      </c>
      <c r="P544" s="27"/>
      <c r="Q544" s="27"/>
      <c r="R544" s="28" t="s">
        <v>3445</v>
      </c>
      <c r="S544" s="8" t="s">
        <v>3446</v>
      </c>
      <c r="T544" s="29" t="s">
        <v>3447</v>
      </c>
      <c r="U544" s="24"/>
    </row>
    <row r="545" hidden="1">
      <c r="A545" s="30">
        <v>7.290000074184E12</v>
      </c>
      <c r="B545" s="20" t="s">
        <v>3448</v>
      </c>
      <c r="C545" s="21">
        <v>0.19</v>
      </c>
      <c r="D545" s="21">
        <v>0.075</v>
      </c>
      <c r="E545" s="21">
        <v>0.045</v>
      </c>
      <c r="F545" s="22">
        <v>7.0</v>
      </c>
      <c r="G545" s="23"/>
      <c r="H545" s="24" t="s">
        <v>3439</v>
      </c>
      <c r="I545" s="21" t="s">
        <v>3440</v>
      </c>
      <c r="J545" s="24" t="s">
        <v>3449</v>
      </c>
      <c r="K545" s="21" t="s">
        <v>3450</v>
      </c>
      <c r="L545" s="25" t="s">
        <v>3451</v>
      </c>
      <c r="M545" s="26" t="s">
        <v>37</v>
      </c>
      <c r="N545" s="24" t="s">
        <v>3439</v>
      </c>
      <c r="O545" s="24" t="s">
        <v>3444</v>
      </c>
      <c r="P545" s="27"/>
      <c r="Q545" s="27"/>
      <c r="R545" s="28" t="s">
        <v>3452</v>
      </c>
      <c r="S545" s="8" t="s">
        <v>3453</v>
      </c>
      <c r="T545" s="29" t="e">
        <v>#N/A</v>
      </c>
      <c r="U545" s="24"/>
    </row>
    <row r="546" hidden="1">
      <c r="A546" s="30">
        <v>7.290112492357E12</v>
      </c>
      <c r="B546" s="20" t="s">
        <v>3283</v>
      </c>
      <c r="C546" s="21">
        <v>0.09999999</v>
      </c>
      <c r="D546" s="21">
        <v>0.09</v>
      </c>
      <c r="E546" s="21">
        <v>0.09999999</v>
      </c>
      <c r="F546" s="22">
        <v>3.0</v>
      </c>
      <c r="G546" s="23"/>
      <c r="H546" s="24" t="s">
        <v>5241</v>
      </c>
      <c r="I546" s="21" t="s">
        <v>3274</v>
      </c>
      <c r="J546" s="24" t="s">
        <v>3284</v>
      </c>
      <c r="K546" s="21" t="s">
        <v>3285</v>
      </c>
      <c r="L546" s="25" t="s">
        <v>3286</v>
      </c>
      <c r="M546" s="26" t="s">
        <v>28</v>
      </c>
      <c r="N546" s="24" t="s">
        <v>954</v>
      </c>
      <c r="O546" s="24" t="s">
        <v>3287</v>
      </c>
      <c r="P546" s="27"/>
      <c r="Q546" s="27"/>
      <c r="R546" s="31" t="s">
        <v>3288</v>
      </c>
      <c r="S546" s="33" t="s">
        <v>3289</v>
      </c>
      <c r="T546" s="29" t="s">
        <v>3290</v>
      </c>
      <c r="U546" s="24"/>
    </row>
    <row r="547" hidden="1">
      <c r="A547" s="30">
        <v>7.290112492258E12</v>
      </c>
      <c r="B547" s="20" t="s">
        <v>3291</v>
      </c>
      <c r="C547" s="21">
        <v>0.09999999</v>
      </c>
      <c r="D547" s="21">
        <v>0.09</v>
      </c>
      <c r="E547" s="21">
        <v>0.09999999</v>
      </c>
      <c r="F547" s="22">
        <v>3.0</v>
      </c>
      <c r="G547" s="23"/>
      <c r="H547" s="24" t="s">
        <v>5241</v>
      </c>
      <c r="I547" s="21" t="s">
        <v>3274</v>
      </c>
      <c r="J547" s="24" t="s">
        <v>3292</v>
      </c>
      <c r="K547" s="21" t="s">
        <v>3293</v>
      </c>
      <c r="L547" s="25" t="s">
        <v>3294</v>
      </c>
      <c r="M547" s="26" t="s">
        <v>28</v>
      </c>
      <c r="N547" s="24" t="s">
        <v>954</v>
      </c>
      <c r="O547" s="24" t="s">
        <v>3295</v>
      </c>
      <c r="P547" s="27"/>
      <c r="Q547" s="27"/>
      <c r="R547" s="31" t="s">
        <v>3296</v>
      </c>
      <c r="S547" s="33" t="s">
        <v>3297</v>
      </c>
      <c r="T547" s="29" t="s">
        <v>3290</v>
      </c>
      <c r="U547" s="24"/>
    </row>
    <row r="548" hidden="1">
      <c r="A548" s="30">
        <v>7.290112496287E12</v>
      </c>
      <c r="B548" s="20" t="s">
        <v>3310</v>
      </c>
      <c r="C548" s="21">
        <v>0.09999999</v>
      </c>
      <c r="D548" s="21">
        <v>0.14</v>
      </c>
      <c r="E548" s="21">
        <v>0.045</v>
      </c>
      <c r="F548" s="22">
        <v>7.0</v>
      </c>
      <c r="G548" s="23"/>
      <c r="H548" s="24" t="s">
        <v>5241</v>
      </c>
      <c r="I548" s="21" t="s">
        <v>3274</v>
      </c>
      <c r="J548" s="24" t="s">
        <v>3311</v>
      </c>
      <c r="K548" s="21" t="s">
        <v>3312</v>
      </c>
      <c r="L548" s="25" t="s">
        <v>3313</v>
      </c>
      <c r="M548" s="26" t="s">
        <v>28</v>
      </c>
      <c r="N548" s="24" t="s">
        <v>954</v>
      </c>
      <c r="O548" s="24" t="s">
        <v>3279</v>
      </c>
      <c r="P548" s="27"/>
      <c r="Q548" s="27"/>
      <c r="R548" s="31" t="s">
        <v>3314</v>
      </c>
      <c r="S548" s="33" t="s">
        <v>3315</v>
      </c>
      <c r="T548" s="29" t="s">
        <v>3282</v>
      </c>
      <c r="U548" s="24"/>
    </row>
    <row r="549" hidden="1">
      <c r="A549" s="30">
        <v>7.290112496294E12</v>
      </c>
      <c r="B549" s="20" t="s">
        <v>3272</v>
      </c>
      <c r="C549" s="21">
        <v>0.09999999</v>
      </c>
      <c r="D549" s="21">
        <v>0.14</v>
      </c>
      <c r="E549" s="21">
        <v>0.045</v>
      </c>
      <c r="F549" s="22">
        <v>7.0</v>
      </c>
      <c r="G549" s="23"/>
      <c r="H549" s="24" t="s">
        <v>5241</v>
      </c>
      <c r="I549" s="21" t="s">
        <v>3274</v>
      </c>
      <c r="J549" s="24" t="s">
        <v>3276</v>
      </c>
      <c r="K549" s="21" t="s">
        <v>3277</v>
      </c>
      <c r="L549" s="25" t="s">
        <v>3278</v>
      </c>
      <c r="M549" s="26" t="s">
        <v>28</v>
      </c>
      <c r="N549" s="24" t="s">
        <v>954</v>
      </c>
      <c r="O549" s="24" t="s">
        <v>3279</v>
      </c>
      <c r="P549" s="27"/>
      <c r="Q549" s="27"/>
      <c r="R549" s="31" t="s">
        <v>3280</v>
      </c>
      <c r="S549" s="33" t="s">
        <v>3281</v>
      </c>
      <c r="T549" s="29" t="s">
        <v>3282</v>
      </c>
      <c r="U549" s="24"/>
    </row>
    <row r="550" hidden="1">
      <c r="A550" s="30">
        <v>7.29011249627E12</v>
      </c>
      <c r="B550" s="20" t="s">
        <v>3304</v>
      </c>
      <c r="C550" s="21">
        <v>0.09999999</v>
      </c>
      <c r="D550" s="21">
        <v>0.14</v>
      </c>
      <c r="E550" s="21">
        <v>0.045</v>
      </c>
      <c r="F550" s="22">
        <v>7.0</v>
      </c>
      <c r="G550" s="23"/>
      <c r="H550" s="24" t="s">
        <v>5241</v>
      </c>
      <c r="I550" s="21" t="s">
        <v>3274</v>
      </c>
      <c r="J550" s="24" t="s">
        <v>3305</v>
      </c>
      <c r="K550" s="21" t="s">
        <v>3306</v>
      </c>
      <c r="L550" s="25" t="s">
        <v>3307</v>
      </c>
      <c r="M550" s="26" t="s">
        <v>28</v>
      </c>
      <c r="N550" s="24" t="s">
        <v>954</v>
      </c>
      <c r="O550" s="24" t="s">
        <v>3279</v>
      </c>
      <c r="P550" s="27"/>
      <c r="Q550" s="27"/>
      <c r="R550" s="28" t="s">
        <v>3308</v>
      </c>
      <c r="S550" s="8" t="s">
        <v>3309</v>
      </c>
      <c r="T550" s="29" t="s">
        <v>3282</v>
      </c>
      <c r="U550" s="24"/>
    </row>
    <row r="551" hidden="1">
      <c r="A551" s="30">
        <v>7.290112495976E12</v>
      </c>
      <c r="B551" s="20" t="s">
        <v>3298</v>
      </c>
      <c r="C551" s="21">
        <v>0.09999999</v>
      </c>
      <c r="D551" s="21">
        <v>0.09999999</v>
      </c>
      <c r="E551" s="21">
        <v>0.07</v>
      </c>
      <c r="F551" s="22">
        <v>4.0</v>
      </c>
      <c r="G551" s="23"/>
      <c r="H551" s="24" t="s">
        <v>5241</v>
      </c>
      <c r="I551" s="21" t="s">
        <v>3274</v>
      </c>
      <c r="J551" s="24" t="s">
        <v>3299</v>
      </c>
      <c r="K551" s="21" t="s">
        <v>3300</v>
      </c>
      <c r="L551" s="25" t="s">
        <v>3301</v>
      </c>
      <c r="M551" s="26" t="s">
        <v>28</v>
      </c>
      <c r="N551" s="24" t="s">
        <v>954</v>
      </c>
      <c r="O551" s="24" t="s">
        <v>1303</v>
      </c>
      <c r="P551" s="27"/>
      <c r="Q551" s="27"/>
      <c r="R551" s="28" t="s">
        <v>3302</v>
      </c>
      <c r="S551" s="8" t="s">
        <v>3303</v>
      </c>
      <c r="T551" s="29" t="s">
        <v>3290</v>
      </c>
      <c r="U551" s="24"/>
    </row>
    <row r="552" hidden="1">
      <c r="A552" s="30">
        <v>5.410769800097E12</v>
      </c>
      <c r="B552" s="20" t="s">
        <v>610</v>
      </c>
      <c r="C552" s="21">
        <v>0.06</v>
      </c>
      <c r="D552" s="21">
        <v>0.158</v>
      </c>
      <c r="E552" s="21">
        <v>0.06</v>
      </c>
      <c r="F552" s="22">
        <v>5.0</v>
      </c>
      <c r="G552" s="23"/>
      <c r="H552" s="24" t="s">
        <v>611</v>
      </c>
      <c r="I552" s="21" t="s">
        <v>612</v>
      </c>
      <c r="J552" s="24" t="s">
        <v>613</v>
      </c>
      <c r="K552" s="21" t="s">
        <v>614</v>
      </c>
      <c r="L552" s="25" t="s">
        <v>615</v>
      </c>
      <c r="M552" s="26" t="s">
        <v>28</v>
      </c>
      <c r="N552" s="24" t="s">
        <v>365</v>
      </c>
      <c r="O552" s="24" t="s">
        <v>536</v>
      </c>
      <c r="P552" s="27"/>
      <c r="Q552" s="27"/>
      <c r="R552" s="28" t="s">
        <v>616</v>
      </c>
      <c r="S552" s="8" t="s">
        <v>617</v>
      </c>
      <c r="T552" s="29" t="s">
        <v>618</v>
      </c>
      <c r="U552" s="24"/>
    </row>
    <row r="553" hidden="1">
      <c r="A553" s="30">
        <v>7.290106660649E12</v>
      </c>
      <c r="B553" s="20" t="s">
        <v>605</v>
      </c>
      <c r="C553" s="21">
        <v>0.14</v>
      </c>
      <c r="D553" s="21">
        <v>0.18</v>
      </c>
      <c r="E553" s="21">
        <v>0.06</v>
      </c>
      <c r="F553" s="22">
        <v>5.0</v>
      </c>
      <c r="G553" s="23"/>
      <c r="H553" s="24" t="s">
        <v>598</v>
      </c>
      <c r="I553" s="21" t="s">
        <v>599</v>
      </c>
      <c r="J553" s="24" t="s">
        <v>606</v>
      </c>
      <c r="K553" s="21" t="s">
        <v>607</v>
      </c>
      <c r="L553" s="25" t="s">
        <v>608</v>
      </c>
      <c r="M553" s="26" t="s">
        <v>28</v>
      </c>
      <c r="N553" s="24" t="s">
        <v>109</v>
      </c>
      <c r="O553" s="24" t="s">
        <v>603</v>
      </c>
      <c r="P553" s="27"/>
      <c r="Q553" s="27"/>
      <c r="R553" s="31" t="s">
        <v>609</v>
      </c>
      <c r="S553" s="33" t="s">
        <v>608</v>
      </c>
      <c r="T553" s="29" t="s">
        <v>599</v>
      </c>
      <c r="U553" s="21" t="s">
        <v>113</v>
      </c>
    </row>
    <row r="554" hidden="1">
      <c r="A554" s="30">
        <v>7.290106720626E12</v>
      </c>
      <c r="B554" s="20" t="s">
        <v>597</v>
      </c>
      <c r="C554" s="21">
        <v>0.14</v>
      </c>
      <c r="D554" s="21">
        <v>0.18</v>
      </c>
      <c r="E554" s="21">
        <v>0.06</v>
      </c>
      <c r="F554" s="22">
        <v>5.0</v>
      </c>
      <c r="G554" s="23"/>
      <c r="H554" s="24" t="s">
        <v>598</v>
      </c>
      <c r="I554" s="21" t="s">
        <v>599</v>
      </c>
      <c r="J554" s="24" t="s">
        <v>600</v>
      </c>
      <c r="K554" s="21" t="s">
        <v>601</v>
      </c>
      <c r="L554" s="25" t="s">
        <v>602</v>
      </c>
      <c r="M554" s="26" t="s">
        <v>28</v>
      </c>
      <c r="N554" s="24" t="s">
        <v>109</v>
      </c>
      <c r="O554" s="24" t="s">
        <v>603</v>
      </c>
      <c r="P554" s="27"/>
      <c r="Q554" s="27"/>
      <c r="R554" s="31" t="s">
        <v>604</v>
      </c>
      <c r="S554" s="33" t="s">
        <v>602</v>
      </c>
      <c r="T554" s="29" t="s">
        <v>599</v>
      </c>
      <c r="U554" s="21" t="s">
        <v>113</v>
      </c>
    </row>
    <row r="555" hidden="1">
      <c r="A555" s="30">
        <v>2043782.0</v>
      </c>
      <c r="B555" s="20" t="s">
        <v>3685</v>
      </c>
      <c r="C555" s="21">
        <v>0.13</v>
      </c>
      <c r="D555" s="21">
        <v>0.17</v>
      </c>
      <c r="E555" s="21">
        <v>0.03</v>
      </c>
      <c r="F555" s="22">
        <v>10.0</v>
      </c>
      <c r="G555" s="23"/>
      <c r="H555" s="24" t="s">
        <v>5242</v>
      </c>
      <c r="I555" s="21" t="s">
        <v>3617</v>
      </c>
      <c r="J555" s="24" t="s">
        <v>3686</v>
      </c>
      <c r="K555" s="21" t="s">
        <v>3687</v>
      </c>
      <c r="L555" s="25" t="s">
        <v>3688</v>
      </c>
      <c r="M555" s="26" t="s">
        <v>28</v>
      </c>
      <c r="N555" s="24" t="s">
        <v>954</v>
      </c>
      <c r="O555" s="24" t="s">
        <v>1303</v>
      </c>
      <c r="P555" s="27"/>
      <c r="Q555" s="27"/>
      <c r="R555" s="28" t="s">
        <v>3689</v>
      </c>
      <c r="S555" s="8" t="s">
        <v>3690</v>
      </c>
      <c r="T555" s="29" t="s">
        <v>3623</v>
      </c>
      <c r="U555" s="24"/>
    </row>
    <row r="556" hidden="1">
      <c r="A556" s="30">
        <v>2043188.0</v>
      </c>
      <c r="B556" s="20" t="s">
        <v>3679</v>
      </c>
      <c r="C556" s="21">
        <v>0.13</v>
      </c>
      <c r="D556" s="21">
        <v>0.17</v>
      </c>
      <c r="E556" s="21">
        <v>0.03</v>
      </c>
      <c r="F556" s="22">
        <v>10.0</v>
      </c>
      <c r="G556" s="23"/>
      <c r="H556" s="24" t="s">
        <v>5242</v>
      </c>
      <c r="I556" s="21" t="s">
        <v>3617</v>
      </c>
      <c r="J556" s="24" t="s">
        <v>3680</v>
      </c>
      <c r="K556" s="21" t="s">
        <v>3681</v>
      </c>
      <c r="L556" s="25" t="s">
        <v>3682</v>
      </c>
      <c r="M556" s="26" t="s">
        <v>28</v>
      </c>
      <c r="N556" s="24" t="s">
        <v>954</v>
      </c>
      <c r="O556" s="24" t="s">
        <v>1303</v>
      </c>
      <c r="P556" s="27"/>
      <c r="Q556" s="27"/>
      <c r="R556" s="28" t="s">
        <v>3683</v>
      </c>
      <c r="S556" s="8" t="s">
        <v>3684</v>
      </c>
      <c r="T556" s="29" t="s">
        <v>3623</v>
      </c>
      <c r="U556" s="24"/>
    </row>
    <row r="557" hidden="1">
      <c r="A557" s="30">
        <v>7.290011194246E12</v>
      </c>
      <c r="B557" s="20" t="s">
        <v>5243</v>
      </c>
      <c r="C557" s="21">
        <v>0.09</v>
      </c>
      <c r="D557" s="21">
        <v>0.07</v>
      </c>
      <c r="E557" s="21">
        <v>0.095</v>
      </c>
      <c r="F557" s="22">
        <v>3.0</v>
      </c>
      <c r="G557" s="23"/>
      <c r="H557" s="24" t="s">
        <v>5244</v>
      </c>
      <c r="I557" s="21" t="s">
        <v>5245</v>
      </c>
      <c r="J557" s="24" t="s">
        <v>930</v>
      </c>
      <c r="K557" s="21" t="s">
        <v>931</v>
      </c>
      <c r="L557" s="25" t="s">
        <v>932</v>
      </c>
      <c r="M557" s="26" t="s">
        <v>28</v>
      </c>
      <c r="N557" s="24" t="s">
        <v>933</v>
      </c>
      <c r="O557" s="24" t="s">
        <v>934</v>
      </c>
      <c r="P557" s="27"/>
      <c r="Q557" s="27"/>
      <c r="R557" s="28" t="s">
        <v>935</v>
      </c>
      <c r="S557" s="8" t="s">
        <v>936</v>
      </c>
      <c r="T557" s="29" t="s">
        <v>937</v>
      </c>
      <c r="U557" s="24"/>
    </row>
    <row r="558" hidden="1">
      <c r="A558" s="30">
        <v>4127329.0</v>
      </c>
      <c r="B558" s="20" t="s">
        <v>5246</v>
      </c>
      <c r="C558" s="21">
        <v>0.09</v>
      </c>
      <c r="D558" s="21">
        <v>0.09</v>
      </c>
      <c r="E558" s="21">
        <v>0.08</v>
      </c>
      <c r="F558" s="22">
        <v>4.0</v>
      </c>
      <c r="G558" s="23"/>
      <c r="H558" s="24" t="s">
        <v>5244</v>
      </c>
      <c r="I558" s="21" t="s">
        <v>5245</v>
      </c>
      <c r="J558" s="24" t="s">
        <v>941</v>
      </c>
      <c r="K558" s="21" t="s">
        <v>942</v>
      </c>
      <c r="L558" s="25" t="s">
        <v>943</v>
      </c>
      <c r="M558" s="26" t="s">
        <v>28</v>
      </c>
      <c r="N558" s="24" t="s">
        <v>933</v>
      </c>
      <c r="O558" s="24" t="s">
        <v>934</v>
      </c>
      <c r="P558" s="27"/>
      <c r="Q558" s="27"/>
      <c r="R558" s="28" t="s">
        <v>944</v>
      </c>
      <c r="S558" s="8" t="s">
        <v>945</v>
      </c>
      <c r="T558" s="29" t="s">
        <v>946</v>
      </c>
      <c r="U558" s="24"/>
    </row>
    <row r="559" hidden="1">
      <c r="A559" s="30">
        <v>7.29001101788E12</v>
      </c>
      <c r="B559" s="20" t="s">
        <v>867</v>
      </c>
      <c r="C559" s="21">
        <v>0.057</v>
      </c>
      <c r="D559" s="21">
        <v>0.14</v>
      </c>
      <c r="E559" s="21">
        <v>0.057</v>
      </c>
      <c r="F559" s="22">
        <v>5.0</v>
      </c>
      <c r="G559" s="23"/>
      <c r="H559" s="24" t="s">
        <v>794</v>
      </c>
      <c r="I559" s="21" t="s">
        <v>795</v>
      </c>
      <c r="J559" s="24" t="s">
        <v>868</v>
      </c>
      <c r="K559" s="21" t="s">
        <v>869</v>
      </c>
      <c r="L559" s="25" t="s">
        <v>870</v>
      </c>
      <c r="M559" s="26" t="s">
        <v>28</v>
      </c>
      <c r="N559" s="24" t="s">
        <v>814</v>
      </c>
      <c r="O559" s="24" t="s">
        <v>840</v>
      </c>
      <c r="P559" s="27"/>
      <c r="Q559" s="27"/>
      <c r="R559" s="31" t="s">
        <v>871</v>
      </c>
      <c r="S559" s="8" t="s">
        <v>872</v>
      </c>
      <c r="T559" s="29" t="s">
        <v>795</v>
      </c>
      <c r="U559" s="24"/>
    </row>
    <row r="560" hidden="1">
      <c r="A560" s="30">
        <v>7.290011017873E12</v>
      </c>
      <c r="B560" s="20" t="s">
        <v>836</v>
      </c>
      <c r="C560" s="21">
        <v>0.057</v>
      </c>
      <c r="D560" s="21">
        <v>0.14</v>
      </c>
      <c r="E560" s="21">
        <v>0.057</v>
      </c>
      <c r="F560" s="22">
        <v>5.0</v>
      </c>
      <c r="G560" s="23"/>
      <c r="H560" s="24" t="s">
        <v>794</v>
      </c>
      <c r="I560" s="21" t="s">
        <v>795</v>
      </c>
      <c r="J560" s="24" t="s">
        <v>837</v>
      </c>
      <c r="K560" s="21" t="s">
        <v>838</v>
      </c>
      <c r="L560" s="25" t="s">
        <v>839</v>
      </c>
      <c r="M560" s="26" t="s">
        <v>28</v>
      </c>
      <c r="N560" s="24" t="s">
        <v>814</v>
      </c>
      <c r="O560" s="24" t="s">
        <v>840</v>
      </c>
      <c r="P560" s="27"/>
      <c r="Q560" s="27"/>
      <c r="R560" s="31" t="s">
        <v>841</v>
      </c>
      <c r="S560" s="33" t="s">
        <v>842</v>
      </c>
      <c r="T560" s="29" t="s">
        <v>795</v>
      </c>
      <c r="U560" s="24"/>
    </row>
    <row r="561" hidden="1">
      <c r="A561" s="30">
        <v>7.290008909853E12</v>
      </c>
      <c r="B561" s="20" t="s">
        <v>855</v>
      </c>
      <c r="C561" s="21">
        <v>0.065</v>
      </c>
      <c r="D561" s="21">
        <v>0.24</v>
      </c>
      <c r="E561" s="21">
        <v>0.065</v>
      </c>
      <c r="F561" s="22">
        <v>5.0</v>
      </c>
      <c r="G561" s="23"/>
      <c r="H561" s="24" t="s">
        <v>794</v>
      </c>
      <c r="I561" s="21" t="s">
        <v>795</v>
      </c>
      <c r="J561" s="24" t="s">
        <v>856</v>
      </c>
      <c r="K561" s="21" t="s">
        <v>857</v>
      </c>
      <c r="L561" s="25" t="s">
        <v>858</v>
      </c>
      <c r="M561" s="26" t="s">
        <v>37</v>
      </c>
      <c r="N561" s="24" t="s">
        <v>814</v>
      </c>
      <c r="O561" s="24" t="s">
        <v>840</v>
      </c>
      <c r="P561" s="27"/>
      <c r="Q561" s="27"/>
      <c r="R561" s="28" t="s">
        <v>859</v>
      </c>
      <c r="S561" s="8" t="s">
        <v>860</v>
      </c>
      <c r="T561" s="29" t="e">
        <v>#N/A</v>
      </c>
      <c r="U561" s="24"/>
    </row>
    <row r="562" hidden="1">
      <c r="A562" s="30">
        <v>7.290001594186E12</v>
      </c>
      <c r="B562" s="20" t="s">
        <v>861</v>
      </c>
      <c r="C562" s="21">
        <v>0.065</v>
      </c>
      <c r="D562" s="21">
        <v>0.24</v>
      </c>
      <c r="E562" s="21">
        <v>0.065</v>
      </c>
      <c r="F562" s="22">
        <v>5.0</v>
      </c>
      <c r="G562" s="23"/>
      <c r="H562" s="24" t="s">
        <v>794</v>
      </c>
      <c r="I562" s="21" t="s">
        <v>795</v>
      </c>
      <c r="J562" s="24" t="s">
        <v>862</v>
      </c>
      <c r="K562" s="21" t="s">
        <v>863</v>
      </c>
      <c r="L562" s="25" t="s">
        <v>864</v>
      </c>
      <c r="M562" s="26" t="s">
        <v>37</v>
      </c>
      <c r="N562" s="24" t="s">
        <v>814</v>
      </c>
      <c r="O562" s="24" t="s">
        <v>840</v>
      </c>
      <c r="P562" s="27"/>
      <c r="Q562" s="27"/>
      <c r="R562" s="28" t="s">
        <v>865</v>
      </c>
      <c r="S562" s="8" t="s">
        <v>866</v>
      </c>
      <c r="T562" s="29" t="e">
        <v>#N/A</v>
      </c>
      <c r="U562" s="24"/>
    </row>
    <row r="563" hidden="1">
      <c r="A563" s="30">
        <v>7.290008909884E12</v>
      </c>
      <c r="B563" s="20" t="s">
        <v>843</v>
      </c>
      <c r="C563" s="21">
        <v>0.058</v>
      </c>
      <c r="D563" s="21">
        <v>0.212</v>
      </c>
      <c r="E563" s="21">
        <v>0.058</v>
      </c>
      <c r="F563" s="22">
        <v>5.0</v>
      </c>
      <c r="G563" s="23"/>
      <c r="H563" s="24" t="s">
        <v>794</v>
      </c>
      <c r="I563" s="21" t="s">
        <v>795</v>
      </c>
      <c r="J563" s="24" t="s">
        <v>844</v>
      </c>
      <c r="K563" s="21" t="s">
        <v>845</v>
      </c>
      <c r="L563" s="25" t="s">
        <v>846</v>
      </c>
      <c r="M563" s="26" t="s">
        <v>37</v>
      </c>
      <c r="N563" s="24" t="s">
        <v>814</v>
      </c>
      <c r="O563" s="24" t="s">
        <v>840</v>
      </c>
      <c r="P563" s="27"/>
      <c r="Q563" s="27"/>
      <c r="R563" s="31" t="s">
        <v>847</v>
      </c>
      <c r="S563" s="8" t="s">
        <v>848</v>
      </c>
      <c r="T563" s="29" t="e">
        <v>#N/A</v>
      </c>
      <c r="U563" s="24"/>
    </row>
    <row r="564" hidden="1">
      <c r="A564" s="30">
        <v>7.290013585387E12</v>
      </c>
      <c r="B564" s="20" t="s">
        <v>830</v>
      </c>
      <c r="C564" s="21">
        <v>0.095</v>
      </c>
      <c r="D564" s="21">
        <v>0.28</v>
      </c>
      <c r="E564" s="21">
        <v>0.095</v>
      </c>
      <c r="F564" s="22">
        <v>3.0</v>
      </c>
      <c r="G564" s="23"/>
      <c r="H564" s="24" t="s">
        <v>794</v>
      </c>
      <c r="I564" s="21" t="s">
        <v>795</v>
      </c>
      <c r="J564" s="24" t="s">
        <v>831</v>
      </c>
      <c r="K564" s="21" t="s">
        <v>832</v>
      </c>
      <c r="L564" s="25" t="s">
        <v>833</v>
      </c>
      <c r="M564" s="26" t="s">
        <v>28</v>
      </c>
      <c r="N564" s="24" t="s">
        <v>814</v>
      </c>
      <c r="O564" s="24" t="s">
        <v>815</v>
      </c>
      <c r="P564" s="27"/>
      <c r="Q564" s="27"/>
      <c r="R564" s="28" t="s">
        <v>834</v>
      </c>
      <c r="S564" s="8" t="s">
        <v>835</v>
      </c>
      <c r="T564" s="29" t="s">
        <v>795</v>
      </c>
      <c r="U564" s="24"/>
    </row>
    <row r="565" hidden="1">
      <c r="A565" s="30">
        <v>7.29000890986E12</v>
      </c>
      <c r="B565" s="20" t="s">
        <v>849</v>
      </c>
      <c r="C565" s="21">
        <v>0.095</v>
      </c>
      <c r="D565" s="21">
        <v>0.333</v>
      </c>
      <c r="E565" s="21">
        <v>0.095</v>
      </c>
      <c r="F565" s="22">
        <v>3.0</v>
      </c>
      <c r="G565" s="23"/>
      <c r="H565" s="24" t="s">
        <v>794</v>
      </c>
      <c r="I565" s="21" t="s">
        <v>795</v>
      </c>
      <c r="J565" s="24" t="s">
        <v>850</v>
      </c>
      <c r="K565" s="21" t="s">
        <v>851</v>
      </c>
      <c r="L565" s="25" t="s">
        <v>852</v>
      </c>
      <c r="M565" s="26" t="s">
        <v>37</v>
      </c>
      <c r="N565" s="24" t="s">
        <v>814</v>
      </c>
      <c r="O565" s="24" t="s">
        <v>815</v>
      </c>
      <c r="P565" s="27"/>
      <c r="Q565" s="27"/>
      <c r="R565" s="31" t="s">
        <v>853</v>
      </c>
      <c r="S565" s="33" t="s">
        <v>854</v>
      </c>
      <c r="T565" s="29" t="e">
        <v>#N/A</v>
      </c>
      <c r="U565" s="24"/>
    </row>
    <row r="566" hidden="1">
      <c r="A566" s="30">
        <v>7.290000284316E12</v>
      </c>
      <c r="B566" s="20" t="s">
        <v>810</v>
      </c>
      <c r="C566" s="21">
        <v>0.095</v>
      </c>
      <c r="D566" s="21">
        <v>0.333</v>
      </c>
      <c r="E566" s="21">
        <v>0.095</v>
      </c>
      <c r="F566" s="22">
        <v>3.0</v>
      </c>
      <c r="G566" s="23"/>
      <c r="H566" s="24" t="s">
        <v>794</v>
      </c>
      <c r="I566" s="21" t="s">
        <v>795</v>
      </c>
      <c r="J566" s="24" t="s">
        <v>811</v>
      </c>
      <c r="K566" s="21" t="s">
        <v>812</v>
      </c>
      <c r="L566" s="25" t="s">
        <v>813</v>
      </c>
      <c r="M566" s="26" t="s">
        <v>37</v>
      </c>
      <c r="N566" s="24" t="s">
        <v>814</v>
      </c>
      <c r="O566" s="24" t="s">
        <v>815</v>
      </c>
      <c r="P566" s="27"/>
      <c r="Q566" s="27"/>
      <c r="R566" s="28" t="s">
        <v>816</v>
      </c>
      <c r="S566" s="8" t="s">
        <v>817</v>
      </c>
      <c r="T566" s="29" t="e">
        <v>#N/A</v>
      </c>
      <c r="U566" s="24"/>
    </row>
    <row r="567" hidden="1">
      <c r="A567" s="30">
        <v>7.290011017866E12</v>
      </c>
      <c r="B567" s="20" t="s">
        <v>818</v>
      </c>
      <c r="C567" s="21">
        <v>0.057</v>
      </c>
      <c r="D567" s="21">
        <v>0.14</v>
      </c>
      <c r="E567" s="21">
        <v>0.057</v>
      </c>
      <c r="F567" s="22">
        <v>5.0</v>
      </c>
      <c r="G567" s="23"/>
      <c r="H567" s="24" t="s">
        <v>794</v>
      </c>
      <c r="I567" s="21" t="s">
        <v>795</v>
      </c>
      <c r="J567" s="24" t="s">
        <v>819</v>
      </c>
      <c r="K567" s="21" t="s">
        <v>820</v>
      </c>
      <c r="L567" s="25" t="s">
        <v>821</v>
      </c>
      <c r="M567" s="26" t="s">
        <v>28</v>
      </c>
      <c r="N567" s="24" t="s">
        <v>799</v>
      </c>
      <c r="O567" s="24" t="s">
        <v>807</v>
      </c>
      <c r="P567" s="27"/>
      <c r="Q567" s="27"/>
      <c r="R567" s="31" t="s">
        <v>822</v>
      </c>
      <c r="S567" s="8" t="s">
        <v>823</v>
      </c>
      <c r="T567" s="29" t="s">
        <v>795</v>
      </c>
      <c r="U567" s="24"/>
    </row>
    <row r="568" hidden="1">
      <c r="A568" s="30">
        <v>7.290001594155E12</v>
      </c>
      <c r="B568" s="20" t="s">
        <v>824</v>
      </c>
      <c r="C568" s="21">
        <v>0.065</v>
      </c>
      <c r="D568" s="21">
        <v>0.24</v>
      </c>
      <c r="E568" s="21">
        <v>0.065</v>
      </c>
      <c r="F568" s="22">
        <v>5.0</v>
      </c>
      <c r="G568" s="23"/>
      <c r="H568" s="24" t="s">
        <v>794</v>
      </c>
      <c r="I568" s="21" t="s">
        <v>795</v>
      </c>
      <c r="J568" s="24" t="s">
        <v>825</v>
      </c>
      <c r="K568" s="21" t="s">
        <v>826</v>
      </c>
      <c r="L568" s="25" t="s">
        <v>827</v>
      </c>
      <c r="M568" s="26" t="s">
        <v>37</v>
      </c>
      <c r="N568" s="24" t="s">
        <v>799</v>
      </c>
      <c r="O568" s="24" t="s">
        <v>807</v>
      </c>
      <c r="P568" s="27"/>
      <c r="Q568" s="27"/>
      <c r="R568" s="31" t="s">
        <v>828</v>
      </c>
      <c r="S568" s="8" t="s">
        <v>829</v>
      </c>
      <c r="T568" s="29" t="e">
        <v>#N/A</v>
      </c>
      <c r="U568" s="24"/>
    </row>
    <row r="569" hidden="1">
      <c r="A569" s="30">
        <v>7.290001594025E12</v>
      </c>
      <c r="B569" s="20" t="s">
        <v>803</v>
      </c>
      <c r="C569" s="21">
        <v>0.058</v>
      </c>
      <c r="D569" s="21">
        <v>0.212</v>
      </c>
      <c r="E569" s="21">
        <v>0.058</v>
      </c>
      <c r="F569" s="22">
        <v>5.0</v>
      </c>
      <c r="G569" s="23"/>
      <c r="H569" s="24" t="s">
        <v>794</v>
      </c>
      <c r="I569" s="21" t="s">
        <v>795</v>
      </c>
      <c r="J569" s="24" t="s">
        <v>804</v>
      </c>
      <c r="K569" s="21" t="s">
        <v>805</v>
      </c>
      <c r="L569" s="25" t="s">
        <v>806</v>
      </c>
      <c r="M569" s="26" t="s">
        <v>37</v>
      </c>
      <c r="N569" s="24" t="s">
        <v>799</v>
      </c>
      <c r="O569" s="24" t="s">
        <v>807</v>
      </c>
      <c r="P569" s="27"/>
      <c r="Q569" s="27"/>
      <c r="R569" s="31" t="s">
        <v>808</v>
      </c>
      <c r="S569" s="8" t="s">
        <v>809</v>
      </c>
      <c r="T569" s="29" t="e">
        <v>#N/A</v>
      </c>
      <c r="U569" s="24"/>
    </row>
    <row r="570" hidden="1">
      <c r="A570" s="30">
        <v>7.290000284361E12</v>
      </c>
      <c r="B570" s="20" t="s">
        <v>873</v>
      </c>
      <c r="C570" s="21">
        <v>0.095</v>
      </c>
      <c r="D570" s="21">
        <v>0.333</v>
      </c>
      <c r="E570" s="21">
        <v>0.095</v>
      </c>
      <c r="F570" s="22">
        <v>3.0</v>
      </c>
      <c r="G570" s="23"/>
      <c r="H570" s="24" t="s">
        <v>794</v>
      </c>
      <c r="I570" s="21" t="s">
        <v>795</v>
      </c>
      <c r="J570" s="24" t="s">
        <v>874</v>
      </c>
      <c r="K570" s="21" t="s">
        <v>875</v>
      </c>
      <c r="L570" s="25" t="s">
        <v>876</v>
      </c>
      <c r="M570" s="26" t="s">
        <v>37</v>
      </c>
      <c r="N570" s="24" t="s">
        <v>814</v>
      </c>
      <c r="O570" s="24" t="s">
        <v>800</v>
      </c>
      <c r="P570" s="27"/>
      <c r="Q570" s="27"/>
      <c r="R570" s="28" t="s">
        <v>877</v>
      </c>
      <c r="S570" s="8" t="s">
        <v>878</v>
      </c>
      <c r="T570" s="29" t="e">
        <v>#N/A</v>
      </c>
      <c r="U570" s="24"/>
    </row>
    <row r="571" hidden="1">
      <c r="A571" s="30">
        <v>7.290013585394E12</v>
      </c>
      <c r="B571" s="20" t="s">
        <v>793</v>
      </c>
      <c r="C571" s="21">
        <v>0.095</v>
      </c>
      <c r="D571" s="21">
        <v>0.28</v>
      </c>
      <c r="E571" s="21">
        <v>0.095</v>
      </c>
      <c r="F571" s="22">
        <v>3.0</v>
      </c>
      <c r="G571" s="23"/>
      <c r="H571" s="24" t="s">
        <v>794</v>
      </c>
      <c r="I571" s="21" t="s">
        <v>795</v>
      </c>
      <c r="J571" s="24" t="s">
        <v>796</v>
      </c>
      <c r="K571" s="21" t="s">
        <v>797</v>
      </c>
      <c r="L571" s="25" t="s">
        <v>798</v>
      </c>
      <c r="M571" s="26" t="s">
        <v>28</v>
      </c>
      <c r="N571" s="24" t="s">
        <v>799</v>
      </c>
      <c r="O571" s="24" t="s">
        <v>800</v>
      </c>
      <c r="P571" s="27"/>
      <c r="Q571" s="27"/>
      <c r="R571" s="28" t="s">
        <v>801</v>
      </c>
      <c r="S571" s="8" t="s">
        <v>802</v>
      </c>
      <c r="T571" s="29" t="s">
        <v>795</v>
      </c>
      <c r="U571" s="24"/>
    </row>
    <row r="572" hidden="1">
      <c r="A572" s="30">
        <v>8.850161167041E12</v>
      </c>
      <c r="B572" s="20" t="s">
        <v>889</v>
      </c>
      <c r="C572" s="21">
        <v>0.055</v>
      </c>
      <c r="D572" s="21">
        <v>0.145</v>
      </c>
      <c r="E572" s="21">
        <v>0.055</v>
      </c>
      <c r="F572" s="22">
        <v>5.0</v>
      </c>
      <c r="G572" s="23"/>
      <c r="H572" s="24" t="s">
        <v>880</v>
      </c>
      <c r="I572" s="21" t="s">
        <v>881</v>
      </c>
      <c r="J572" s="24" t="s">
        <v>890</v>
      </c>
      <c r="K572" s="21" t="s">
        <v>891</v>
      </c>
      <c r="L572" s="25" t="s">
        <v>892</v>
      </c>
      <c r="M572" s="26" t="s">
        <v>28</v>
      </c>
      <c r="N572" s="24" t="s">
        <v>340</v>
      </c>
      <c r="O572" s="24" t="s">
        <v>885</v>
      </c>
      <c r="P572" s="27"/>
      <c r="Q572" s="27"/>
      <c r="R572" s="28" t="s">
        <v>893</v>
      </c>
      <c r="S572" s="8" t="s">
        <v>894</v>
      </c>
      <c r="T572" s="29" t="s">
        <v>895</v>
      </c>
      <c r="U572" s="24"/>
    </row>
    <row r="573" hidden="1">
      <c r="A573" s="30">
        <v>8.850161160851E12</v>
      </c>
      <c r="B573" s="20" t="s">
        <v>879</v>
      </c>
      <c r="C573" s="21">
        <v>0.06</v>
      </c>
      <c r="D573" s="21">
        <v>0.19</v>
      </c>
      <c r="E573" s="21">
        <v>0.06</v>
      </c>
      <c r="F573" s="22">
        <v>5.0</v>
      </c>
      <c r="G573" s="23"/>
      <c r="H573" s="24" t="s">
        <v>880</v>
      </c>
      <c r="I573" s="21" t="s">
        <v>881</v>
      </c>
      <c r="J573" s="24" t="s">
        <v>882</v>
      </c>
      <c r="K573" s="21" t="s">
        <v>883</v>
      </c>
      <c r="L573" s="25" t="s">
        <v>884</v>
      </c>
      <c r="M573" s="26" t="s">
        <v>28</v>
      </c>
      <c r="N573" s="24" t="s">
        <v>340</v>
      </c>
      <c r="O573" s="24" t="s">
        <v>885</v>
      </c>
      <c r="P573" s="27"/>
      <c r="Q573" s="27"/>
      <c r="R573" s="28" t="s">
        <v>886</v>
      </c>
      <c r="S573" s="8" t="s">
        <v>887</v>
      </c>
      <c r="T573" s="29" t="s">
        <v>888</v>
      </c>
      <c r="U573" s="24"/>
    </row>
    <row r="574" hidden="1">
      <c r="A574" s="30">
        <v>8.850161167065E12</v>
      </c>
      <c r="B574" s="20" t="s">
        <v>896</v>
      </c>
      <c r="C574" s="21">
        <v>0.055</v>
      </c>
      <c r="D574" s="21">
        <v>0.145</v>
      </c>
      <c r="E574" s="21">
        <v>0.055</v>
      </c>
      <c r="F574" s="22">
        <v>5.0</v>
      </c>
      <c r="G574" s="23"/>
      <c r="H574" s="24" t="s">
        <v>880</v>
      </c>
      <c r="I574" s="21" t="s">
        <v>881</v>
      </c>
      <c r="J574" s="24" t="s">
        <v>897</v>
      </c>
      <c r="K574" s="21" t="s">
        <v>898</v>
      </c>
      <c r="L574" s="25" t="s">
        <v>899</v>
      </c>
      <c r="M574" s="26" t="s">
        <v>28</v>
      </c>
      <c r="N574" s="24" t="s">
        <v>62</v>
      </c>
      <c r="O574" s="24" t="s">
        <v>63</v>
      </c>
      <c r="P574" s="27"/>
      <c r="Q574" s="27"/>
      <c r="R574" s="28" t="s">
        <v>900</v>
      </c>
      <c r="S574" s="8" t="s">
        <v>901</v>
      </c>
      <c r="T574" s="29" t="s">
        <v>895</v>
      </c>
      <c r="U574" s="24"/>
    </row>
    <row r="575" hidden="1">
      <c r="A575" s="30">
        <v>7.290002542506E12</v>
      </c>
      <c r="B575" s="20" t="s">
        <v>911</v>
      </c>
      <c r="C575" s="21">
        <v>0.058</v>
      </c>
      <c r="D575" s="21">
        <v>0.25</v>
      </c>
      <c r="E575" s="21">
        <v>0.058</v>
      </c>
      <c r="F575" s="22">
        <v>5.0</v>
      </c>
      <c r="G575" s="23"/>
      <c r="H575" s="24" t="s">
        <v>912</v>
      </c>
      <c r="I575" s="21" t="s">
        <v>913</v>
      </c>
      <c r="J575" s="24" t="s">
        <v>915</v>
      </c>
      <c r="K575" s="21" t="s">
        <v>916</v>
      </c>
      <c r="L575" s="25" t="s">
        <v>917</v>
      </c>
      <c r="M575" s="26" t="s">
        <v>37</v>
      </c>
      <c r="N575" s="24" t="s">
        <v>365</v>
      </c>
      <c r="O575" s="24" t="s">
        <v>536</v>
      </c>
      <c r="P575" s="27"/>
      <c r="Q575" s="27"/>
      <c r="R575" s="28" t="s">
        <v>918</v>
      </c>
      <c r="S575" s="8" t="s">
        <v>919</v>
      </c>
      <c r="T575" s="29" t="e">
        <v>#N/A</v>
      </c>
      <c r="U575" s="24"/>
    </row>
    <row r="576" hidden="1">
      <c r="A576" s="30">
        <v>7.50106419669E12</v>
      </c>
      <c r="B576" s="20" t="s">
        <v>920</v>
      </c>
      <c r="C576" s="21">
        <v>0.055</v>
      </c>
      <c r="D576" s="21">
        <v>0.16</v>
      </c>
      <c r="E576" s="21">
        <v>0.055</v>
      </c>
      <c r="F576" s="22">
        <v>5.0</v>
      </c>
      <c r="G576" s="23"/>
      <c r="H576" s="24" t="s">
        <v>912</v>
      </c>
      <c r="I576" s="21" t="s">
        <v>913</v>
      </c>
      <c r="J576" s="24" t="s">
        <v>921</v>
      </c>
      <c r="K576" s="21" t="s">
        <v>922</v>
      </c>
      <c r="L576" s="25" t="s">
        <v>923</v>
      </c>
      <c r="M576" s="26" t="s">
        <v>28</v>
      </c>
      <c r="N576" s="24" t="s">
        <v>365</v>
      </c>
      <c r="O576" s="24" t="s">
        <v>924</v>
      </c>
      <c r="P576" s="27"/>
      <c r="Q576" s="27"/>
      <c r="R576" s="28" t="s">
        <v>925</v>
      </c>
      <c r="S576" s="8" t="s">
        <v>926</v>
      </c>
      <c r="T576" s="29" t="s">
        <v>913</v>
      </c>
      <c r="U576" s="24"/>
    </row>
    <row r="577" hidden="1">
      <c r="A577" s="30">
        <v>4.0052403E7</v>
      </c>
      <c r="B577" s="20" t="s">
        <v>2169</v>
      </c>
      <c r="C577" s="21">
        <v>0.097</v>
      </c>
      <c r="D577" s="21">
        <v>0.064</v>
      </c>
      <c r="E577" s="21">
        <v>0.01</v>
      </c>
      <c r="F577" s="22">
        <v>30.0</v>
      </c>
      <c r="G577" s="23"/>
      <c r="H577" s="24" t="s">
        <v>2170</v>
      </c>
      <c r="I577" s="21" t="s">
        <v>2171</v>
      </c>
      <c r="J577" s="24" t="s">
        <v>2172</v>
      </c>
      <c r="K577" s="21" t="s">
        <v>2173</v>
      </c>
      <c r="L577" s="25" t="s">
        <v>2174</v>
      </c>
      <c r="M577" s="26" t="s">
        <v>28</v>
      </c>
      <c r="N577" s="24" t="s">
        <v>501</v>
      </c>
      <c r="O577" s="24" t="s">
        <v>502</v>
      </c>
      <c r="P577" s="27"/>
      <c r="Q577" s="27"/>
      <c r="R577" s="28" t="s">
        <v>2175</v>
      </c>
      <c r="S577" s="8" t="s">
        <v>2176</v>
      </c>
      <c r="T577" s="29" t="s">
        <v>2177</v>
      </c>
      <c r="U577" s="24"/>
    </row>
    <row r="578" hidden="1">
      <c r="A578" s="30">
        <v>3.800020491393E12</v>
      </c>
      <c r="B578" s="20" t="s">
        <v>2178</v>
      </c>
      <c r="C578" s="21">
        <v>0.12</v>
      </c>
      <c r="D578" s="21">
        <v>0.03</v>
      </c>
      <c r="E578" s="21">
        <v>0.018</v>
      </c>
      <c r="F578" s="22">
        <v>17.0</v>
      </c>
      <c r="G578" s="23"/>
      <c r="H578" s="24" t="s">
        <v>2170</v>
      </c>
      <c r="I578" s="21" t="s">
        <v>2171</v>
      </c>
      <c r="J578" s="24" t="s">
        <v>2179</v>
      </c>
      <c r="K578" s="21" t="s">
        <v>2180</v>
      </c>
      <c r="L578" s="25" t="s">
        <v>2181</v>
      </c>
      <c r="M578" s="26" t="s">
        <v>28</v>
      </c>
      <c r="N578" s="24" t="s">
        <v>501</v>
      </c>
      <c r="O578" s="24" t="s">
        <v>502</v>
      </c>
      <c r="P578" s="27"/>
      <c r="Q578" s="27"/>
      <c r="R578" s="28" t="s">
        <v>2182</v>
      </c>
      <c r="S578" s="33" t="s">
        <v>2183</v>
      </c>
      <c r="T578" s="29" t="s">
        <v>2177</v>
      </c>
      <c r="U578" s="24"/>
    </row>
    <row r="579" hidden="1">
      <c r="A579" s="30">
        <v>3.800020423578E12</v>
      </c>
      <c r="B579" s="20" t="s">
        <v>2184</v>
      </c>
      <c r="C579" s="21">
        <v>0.12</v>
      </c>
      <c r="D579" s="21">
        <v>0.03</v>
      </c>
      <c r="E579" s="21">
        <v>0.018</v>
      </c>
      <c r="F579" s="22">
        <v>17.0</v>
      </c>
      <c r="G579" s="23"/>
      <c r="H579" s="24" t="s">
        <v>2170</v>
      </c>
      <c r="I579" s="21" t="s">
        <v>2171</v>
      </c>
      <c r="J579" s="24" t="s">
        <v>2185</v>
      </c>
      <c r="K579" s="21" t="s">
        <v>2186</v>
      </c>
      <c r="L579" s="25" t="s">
        <v>2187</v>
      </c>
      <c r="M579" s="26" t="s">
        <v>28</v>
      </c>
      <c r="N579" s="24" t="s">
        <v>501</v>
      </c>
      <c r="O579" s="24" t="s">
        <v>502</v>
      </c>
      <c r="P579" s="27"/>
      <c r="Q579" s="27"/>
      <c r="R579" s="28" t="s">
        <v>2188</v>
      </c>
      <c r="S579" s="8" t="s">
        <v>2189</v>
      </c>
      <c r="T579" s="29" t="s">
        <v>2177</v>
      </c>
      <c r="U579" s="24"/>
    </row>
    <row r="580" hidden="1">
      <c r="A580" s="30">
        <v>3.80002041813E12</v>
      </c>
      <c r="B580" s="20" t="s">
        <v>2190</v>
      </c>
      <c r="C580" s="21">
        <v>0.12</v>
      </c>
      <c r="D580" s="21">
        <v>0.03</v>
      </c>
      <c r="E580" s="21">
        <v>0.018</v>
      </c>
      <c r="F580" s="22">
        <v>17.0</v>
      </c>
      <c r="G580" s="23"/>
      <c r="H580" s="24" t="s">
        <v>2170</v>
      </c>
      <c r="I580" s="21" t="s">
        <v>2171</v>
      </c>
      <c r="J580" s="24" t="s">
        <v>2191</v>
      </c>
      <c r="K580" s="21" t="s">
        <v>2192</v>
      </c>
      <c r="L580" s="25" t="s">
        <v>2193</v>
      </c>
      <c r="M580" s="26" t="s">
        <v>28</v>
      </c>
      <c r="N580" s="24" t="s">
        <v>501</v>
      </c>
      <c r="O580" s="24" t="s">
        <v>502</v>
      </c>
      <c r="P580" s="27"/>
      <c r="Q580" s="27"/>
      <c r="R580" s="28" t="s">
        <v>2194</v>
      </c>
      <c r="S580" s="8" t="s">
        <v>2195</v>
      </c>
      <c r="T580" s="29" t="s">
        <v>2177</v>
      </c>
      <c r="U580" s="24"/>
    </row>
    <row r="581" hidden="1">
      <c r="A581" s="30">
        <v>4.0084107E7</v>
      </c>
      <c r="B581" s="20" t="s">
        <v>2136</v>
      </c>
      <c r="C581" s="21">
        <v>0.045</v>
      </c>
      <c r="D581" s="21">
        <v>0.065</v>
      </c>
      <c r="E581" s="21">
        <v>0.045</v>
      </c>
      <c r="F581" s="22">
        <v>7.0</v>
      </c>
      <c r="G581" s="23"/>
      <c r="H581" s="24" t="s">
        <v>2099</v>
      </c>
      <c r="I581" s="21" t="s">
        <v>2100</v>
      </c>
      <c r="J581" s="24" t="s">
        <v>2137</v>
      </c>
      <c r="K581" s="21" t="s">
        <v>2138</v>
      </c>
      <c r="L581" s="25" t="s">
        <v>2139</v>
      </c>
      <c r="M581" s="26" t="s">
        <v>28</v>
      </c>
      <c r="N581" s="24" t="s">
        <v>1772</v>
      </c>
      <c r="O581" s="24" t="s">
        <v>2126</v>
      </c>
      <c r="P581" s="27"/>
      <c r="Q581" s="27"/>
      <c r="R581" s="28" t="s">
        <v>2140</v>
      </c>
      <c r="S581" s="33" t="s">
        <v>2141</v>
      </c>
      <c r="T581" s="29" t="s">
        <v>2129</v>
      </c>
      <c r="U581" s="24"/>
    </row>
    <row r="582" hidden="1">
      <c r="A582" s="30">
        <v>8.0768258E7</v>
      </c>
      <c r="B582" s="20" t="s">
        <v>2130</v>
      </c>
      <c r="C582" s="21">
        <v>0.05</v>
      </c>
      <c r="D582" s="21">
        <v>0.07</v>
      </c>
      <c r="E582" s="21">
        <v>0.055</v>
      </c>
      <c r="F582" s="22">
        <v>5.0</v>
      </c>
      <c r="G582" s="23"/>
      <c r="H582" s="24" t="s">
        <v>2099</v>
      </c>
      <c r="I582" s="21" t="s">
        <v>2100</v>
      </c>
      <c r="J582" s="24" t="s">
        <v>2131</v>
      </c>
      <c r="K582" s="21" t="s">
        <v>2132</v>
      </c>
      <c r="L582" s="25" t="s">
        <v>2133</v>
      </c>
      <c r="M582" s="26" t="s">
        <v>28</v>
      </c>
      <c r="N582" s="24" t="s">
        <v>1772</v>
      </c>
      <c r="O582" s="24" t="s">
        <v>2126</v>
      </c>
      <c r="P582" s="27"/>
      <c r="Q582" s="27"/>
      <c r="R582" s="28" t="s">
        <v>2134</v>
      </c>
      <c r="S582" s="8" t="s">
        <v>2135</v>
      </c>
      <c r="T582" s="29" t="s">
        <v>2129</v>
      </c>
      <c r="U582" s="24"/>
    </row>
    <row r="583" hidden="1">
      <c r="A583" s="30">
        <v>8.0974482E7</v>
      </c>
      <c r="B583" s="20" t="s">
        <v>2121</v>
      </c>
      <c r="C583" s="21">
        <v>0.05</v>
      </c>
      <c r="D583" s="21">
        <v>0.07</v>
      </c>
      <c r="E583" s="21">
        <v>0.055</v>
      </c>
      <c r="F583" s="22">
        <v>5.0</v>
      </c>
      <c r="G583" s="23"/>
      <c r="H583" s="24" t="s">
        <v>2099</v>
      </c>
      <c r="I583" s="21" t="s">
        <v>2100</v>
      </c>
      <c r="J583" s="24" t="s">
        <v>2123</v>
      </c>
      <c r="K583" s="21" t="s">
        <v>2124</v>
      </c>
      <c r="L583" s="25" t="s">
        <v>2125</v>
      </c>
      <c r="M583" s="26" t="s">
        <v>28</v>
      </c>
      <c r="N583" s="24" t="s">
        <v>1772</v>
      </c>
      <c r="O583" s="24" t="s">
        <v>2126</v>
      </c>
      <c r="P583" s="27"/>
      <c r="Q583" s="27"/>
      <c r="R583" s="28" t="s">
        <v>2127</v>
      </c>
      <c r="S583" s="8" t="s">
        <v>2128</v>
      </c>
      <c r="T583" s="29" t="s">
        <v>2129</v>
      </c>
      <c r="U583" s="24"/>
    </row>
    <row r="584" hidden="1">
      <c r="A584" s="30">
        <v>8.0761761E7</v>
      </c>
      <c r="B584" s="20" t="s">
        <v>2098</v>
      </c>
      <c r="C584" s="21">
        <v>0.155</v>
      </c>
      <c r="D584" s="21">
        <v>0.055</v>
      </c>
      <c r="E584" s="21">
        <v>0.02</v>
      </c>
      <c r="F584" s="22">
        <v>15.0</v>
      </c>
      <c r="G584" s="23"/>
      <c r="H584" s="24" t="s">
        <v>2099</v>
      </c>
      <c r="I584" s="21" t="s">
        <v>2100</v>
      </c>
      <c r="J584" s="24" t="s">
        <v>2101</v>
      </c>
      <c r="K584" s="21" t="s">
        <v>2102</v>
      </c>
      <c r="L584" s="25" t="s">
        <v>2103</v>
      </c>
      <c r="M584" s="26" t="s">
        <v>28</v>
      </c>
      <c r="N584" s="24" t="s">
        <v>501</v>
      </c>
      <c r="O584" s="24" t="s">
        <v>502</v>
      </c>
      <c r="P584" s="27"/>
      <c r="Q584" s="27"/>
      <c r="R584" s="28" t="s">
        <v>2104</v>
      </c>
      <c r="S584" s="8" t="s">
        <v>2105</v>
      </c>
      <c r="T584" s="29" t="s">
        <v>2106</v>
      </c>
      <c r="U584" s="24"/>
    </row>
    <row r="585" hidden="1">
      <c r="A585" s="30">
        <v>8.000500267035E12</v>
      </c>
      <c r="B585" s="20" t="s">
        <v>2114</v>
      </c>
      <c r="C585" s="21">
        <v>0.145</v>
      </c>
      <c r="D585" s="21">
        <v>0.065</v>
      </c>
      <c r="E585" s="21">
        <v>0.02</v>
      </c>
      <c r="F585" s="22">
        <v>15.0</v>
      </c>
      <c r="G585" s="23"/>
      <c r="H585" s="24" t="s">
        <v>2099</v>
      </c>
      <c r="I585" s="21" t="s">
        <v>2100</v>
      </c>
      <c r="J585" s="24" t="s">
        <v>2115</v>
      </c>
      <c r="K585" s="21" t="s">
        <v>2116</v>
      </c>
      <c r="L585" s="25" t="s">
        <v>2117</v>
      </c>
      <c r="M585" s="26" t="s">
        <v>28</v>
      </c>
      <c r="N585" s="24" t="s">
        <v>501</v>
      </c>
      <c r="O585" s="24" t="s">
        <v>502</v>
      </c>
      <c r="P585" s="27"/>
      <c r="Q585" s="27"/>
      <c r="R585" s="31" t="s">
        <v>2118</v>
      </c>
      <c r="S585" s="8" t="s">
        <v>2119</v>
      </c>
      <c r="T585" s="29" t="s">
        <v>2120</v>
      </c>
      <c r="U585" s="24"/>
    </row>
    <row r="586" hidden="1">
      <c r="A586" s="30">
        <v>8.017718E7</v>
      </c>
      <c r="B586" s="20" t="s">
        <v>2107</v>
      </c>
      <c r="C586" s="21">
        <v>0.04</v>
      </c>
      <c r="D586" s="21">
        <v>0.11</v>
      </c>
      <c r="E586" s="21">
        <v>0.01</v>
      </c>
      <c r="F586" s="22">
        <v>30.0</v>
      </c>
      <c r="G586" s="23"/>
      <c r="H586" s="24" t="s">
        <v>2099</v>
      </c>
      <c r="I586" s="21" t="s">
        <v>2100</v>
      </c>
      <c r="J586" s="24" t="s">
        <v>2108</v>
      </c>
      <c r="K586" s="21" t="s">
        <v>2109</v>
      </c>
      <c r="L586" s="25" t="s">
        <v>2110</v>
      </c>
      <c r="M586" s="26" t="s">
        <v>28</v>
      </c>
      <c r="N586" s="24" t="s">
        <v>1772</v>
      </c>
      <c r="O586" s="24" t="s">
        <v>1773</v>
      </c>
      <c r="P586" s="27"/>
      <c r="Q586" s="27"/>
      <c r="R586" s="28" t="s">
        <v>2111</v>
      </c>
      <c r="S586" s="8" t="s">
        <v>2112</v>
      </c>
      <c r="T586" s="29" t="s">
        <v>2113</v>
      </c>
      <c r="U586" s="24"/>
    </row>
    <row r="587" hidden="1">
      <c r="A587" s="30">
        <v>5.413548280189E12</v>
      </c>
      <c r="B587" s="20" t="s">
        <v>2146</v>
      </c>
      <c r="C587" s="21">
        <v>0.135</v>
      </c>
      <c r="D587" s="21">
        <v>0.165</v>
      </c>
      <c r="E587" s="21">
        <v>0.03</v>
      </c>
      <c r="F587" s="22">
        <v>10.0</v>
      </c>
      <c r="G587" s="23"/>
      <c r="H587" s="24" t="s">
        <v>2099</v>
      </c>
      <c r="I587" s="21" t="s">
        <v>2100</v>
      </c>
      <c r="J587" s="24" t="s">
        <v>2147</v>
      </c>
      <c r="K587" s="21" t="s">
        <v>2148</v>
      </c>
      <c r="L587" s="25" t="s">
        <v>2149</v>
      </c>
      <c r="M587" s="26" t="s">
        <v>28</v>
      </c>
      <c r="N587" s="24" t="s">
        <v>1772</v>
      </c>
      <c r="O587" s="24" t="s">
        <v>1773</v>
      </c>
      <c r="P587" s="27"/>
      <c r="Q587" s="27"/>
      <c r="R587" s="28" t="s">
        <v>2150</v>
      </c>
      <c r="S587" s="33" t="s">
        <v>2151</v>
      </c>
      <c r="T587" s="29" t="s">
        <v>2100</v>
      </c>
      <c r="U587" s="24"/>
    </row>
    <row r="588" hidden="1">
      <c r="A588" s="30">
        <v>7.29000159423E12</v>
      </c>
      <c r="B588" s="20" t="s">
        <v>2162</v>
      </c>
      <c r="C588" s="21">
        <v>0.06</v>
      </c>
      <c r="D588" s="21">
        <v>0.205</v>
      </c>
      <c r="E588" s="21">
        <v>0.06</v>
      </c>
      <c r="F588" s="22">
        <v>5.0</v>
      </c>
      <c r="G588" s="23"/>
      <c r="H588" s="24" t="s">
        <v>2153</v>
      </c>
      <c r="I588" s="21" t="s">
        <v>2154</v>
      </c>
      <c r="J588" s="24" t="s">
        <v>2163</v>
      </c>
      <c r="K588" s="21" t="s">
        <v>2164</v>
      </c>
      <c r="L588" s="25" t="s">
        <v>2165</v>
      </c>
      <c r="M588" s="26" t="s">
        <v>37</v>
      </c>
      <c r="N588" s="24" t="s">
        <v>2158</v>
      </c>
      <c r="O588" s="24" t="s">
        <v>2166</v>
      </c>
      <c r="P588" s="27"/>
      <c r="Q588" s="27"/>
      <c r="R588" s="28" t="s">
        <v>2167</v>
      </c>
      <c r="S588" s="8" t="s">
        <v>2168</v>
      </c>
      <c r="T588" s="29" t="e">
        <v>#N/A</v>
      </c>
      <c r="U588" s="24"/>
    </row>
    <row r="589" hidden="1">
      <c r="A589" s="30">
        <v>7.290000284347E12</v>
      </c>
      <c r="B589" s="20" t="s">
        <v>2152</v>
      </c>
      <c r="C589" s="21">
        <v>0.095</v>
      </c>
      <c r="D589" s="21">
        <v>0.333</v>
      </c>
      <c r="E589" s="21">
        <v>0.095</v>
      </c>
      <c r="F589" s="22">
        <v>3.0</v>
      </c>
      <c r="G589" s="23"/>
      <c r="H589" s="24" t="s">
        <v>2153</v>
      </c>
      <c r="I589" s="21" t="s">
        <v>2154</v>
      </c>
      <c r="J589" s="24" t="s">
        <v>2155</v>
      </c>
      <c r="K589" s="21" t="s">
        <v>2156</v>
      </c>
      <c r="L589" s="25" t="s">
        <v>2157</v>
      </c>
      <c r="M589" s="26" t="s">
        <v>37</v>
      </c>
      <c r="N589" s="24" t="s">
        <v>2158</v>
      </c>
      <c r="O589" s="24" t="s">
        <v>2159</v>
      </c>
      <c r="P589" s="27"/>
      <c r="Q589" s="27"/>
      <c r="R589" s="31" t="s">
        <v>2160</v>
      </c>
      <c r="S589" s="33" t="s">
        <v>2161</v>
      </c>
      <c r="T589" s="29" t="e">
        <v>#N/A</v>
      </c>
      <c r="U589" s="24"/>
    </row>
    <row r="590" hidden="1">
      <c r="A590" s="30">
        <v>7.290000161631E12</v>
      </c>
      <c r="B590" s="20" t="s">
        <v>775</v>
      </c>
      <c r="C590" s="21">
        <v>0.16</v>
      </c>
      <c r="D590" s="21">
        <v>0.037</v>
      </c>
      <c r="E590" s="21">
        <v>0.03</v>
      </c>
      <c r="F590" s="22">
        <v>10.0</v>
      </c>
      <c r="G590" s="23"/>
      <c r="H590" s="24" t="s">
        <v>723</v>
      </c>
      <c r="I590" s="21" t="s">
        <v>724</v>
      </c>
      <c r="J590" s="24" t="s">
        <v>776</v>
      </c>
      <c r="K590" s="21" t="s">
        <v>777</v>
      </c>
      <c r="L590" s="25" t="s">
        <v>778</v>
      </c>
      <c r="M590" s="26" t="s">
        <v>37</v>
      </c>
      <c r="N590" s="24" t="s">
        <v>501</v>
      </c>
      <c r="O590" s="24" t="s">
        <v>502</v>
      </c>
      <c r="P590" s="27"/>
      <c r="Q590" s="27"/>
      <c r="R590" s="31" t="s">
        <v>779</v>
      </c>
      <c r="S590" s="33" t="s">
        <v>780</v>
      </c>
      <c r="T590" s="29" t="e">
        <v>#N/A</v>
      </c>
      <c r="U590" s="24"/>
    </row>
    <row r="591" hidden="1">
      <c r="A591" s="30">
        <v>7.2909799E7</v>
      </c>
      <c r="B591" s="20" t="s">
        <v>750</v>
      </c>
      <c r="C591" s="21">
        <v>0.16</v>
      </c>
      <c r="D591" s="21">
        <v>0.037</v>
      </c>
      <c r="E591" s="21">
        <v>0.02</v>
      </c>
      <c r="F591" s="22">
        <v>15.0</v>
      </c>
      <c r="G591" s="23"/>
      <c r="H591" s="24" t="s">
        <v>723</v>
      </c>
      <c r="I591" s="21" t="s">
        <v>724</v>
      </c>
      <c r="J591" s="24" t="s">
        <v>751</v>
      </c>
      <c r="K591" s="21" t="s">
        <v>752</v>
      </c>
      <c r="L591" s="25" t="s">
        <v>753</v>
      </c>
      <c r="M591" s="26" t="s">
        <v>28</v>
      </c>
      <c r="N591" s="24" t="s">
        <v>501</v>
      </c>
      <c r="O591" s="24" t="s">
        <v>502</v>
      </c>
      <c r="P591" s="27"/>
      <c r="Q591" s="27"/>
      <c r="R591" s="31" t="s">
        <v>754</v>
      </c>
      <c r="S591" s="33" t="s">
        <v>755</v>
      </c>
      <c r="T591" s="29" t="s">
        <v>756</v>
      </c>
      <c r="U591" s="24"/>
    </row>
    <row r="592" hidden="1">
      <c r="A592" s="30">
        <v>7.290107649117E12</v>
      </c>
      <c r="B592" s="20" t="s">
        <v>769</v>
      </c>
      <c r="C592" s="21">
        <v>0.11</v>
      </c>
      <c r="D592" s="21">
        <v>0.03</v>
      </c>
      <c r="E592" s="21">
        <v>0.02</v>
      </c>
      <c r="F592" s="22">
        <v>15.0</v>
      </c>
      <c r="G592" s="23"/>
      <c r="H592" s="24" t="s">
        <v>723</v>
      </c>
      <c r="I592" s="21" t="s">
        <v>724</v>
      </c>
      <c r="J592" s="24" t="s">
        <v>770</v>
      </c>
      <c r="K592" s="21" t="s">
        <v>771</v>
      </c>
      <c r="L592" s="25" t="s">
        <v>772</v>
      </c>
      <c r="M592" s="26" t="s">
        <v>28</v>
      </c>
      <c r="N592" s="24" t="s">
        <v>501</v>
      </c>
      <c r="O592" s="24" t="s">
        <v>502</v>
      </c>
      <c r="P592" s="27"/>
      <c r="Q592" s="27"/>
      <c r="R592" s="31" t="s">
        <v>773</v>
      </c>
      <c r="S592" s="33" t="s">
        <v>774</v>
      </c>
      <c r="T592" s="29" t="s">
        <v>724</v>
      </c>
      <c r="U592" s="24"/>
    </row>
    <row r="593" hidden="1">
      <c r="A593" s="30">
        <v>7.290000161648E12</v>
      </c>
      <c r="B593" s="20" t="s">
        <v>763</v>
      </c>
      <c r="C593" s="21">
        <v>0.16</v>
      </c>
      <c r="D593" s="21">
        <v>0.037</v>
      </c>
      <c r="E593" s="21">
        <v>0.03</v>
      </c>
      <c r="F593" s="22">
        <v>10.0</v>
      </c>
      <c r="G593" s="23"/>
      <c r="H593" s="24" t="s">
        <v>723</v>
      </c>
      <c r="I593" s="21" t="s">
        <v>724</v>
      </c>
      <c r="J593" s="24" t="s">
        <v>764</v>
      </c>
      <c r="K593" s="21" t="s">
        <v>765</v>
      </c>
      <c r="L593" s="25" t="s">
        <v>766</v>
      </c>
      <c r="M593" s="26" t="s">
        <v>37</v>
      </c>
      <c r="N593" s="24" t="s">
        <v>501</v>
      </c>
      <c r="O593" s="24" t="s">
        <v>502</v>
      </c>
      <c r="P593" s="27"/>
      <c r="Q593" s="27"/>
      <c r="R593" s="31" t="s">
        <v>767</v>
      </c>
      <c r="S593" s="8" t="s">
        <v>768</v>
      </c>
      <c r="T593" s="29" t="e">
        <v>#N/A</v>
      </c>
      <c r="U593" s="24"/>
    </row>
    <row r="594" hidden="1">
      <c r="A594" s="30">
        <v>7.290112497918E12</v>
      </c>
      <c r="B594" s="20" t="s">
        <v>781</v>
      </c>
      <c r="C594" s="21">
        <v>0.16</v>
      </c>
      <c r="D594" s="21">
        <v>0.037</v>
      </c>
      <c r="E594" s="21">
        <v>0.02</v>
      </c>
      <c r="F594" s="22">
        <v>15.0</v>
      </c>
      <c r="G594" s="23"/>
      <c r="H594" s="24" t="s">
        <v>723</v>
      </c>
      <c r="I594" s="21" t="s">
        <v>724</v>
      </c>
      <c r="J594" s="24" t="s">
        <v>782</v>
      </c>
      <c r="K594" s="21" t="s">
        <v>783</v>
      </c>
      <c r="L594" s="25" t="s">
        <v>784</v>
      </c>
      <c r="M594" s="26" t="s">
        <v>28</v>
      </c>
      <c r="N594" s="24" t="s">
        <v>501</v>
      </c>
      <c r="O594" s="24" t="s">
        <v>729</v>
      </c>
      <c r="P594" s="27"/>
      <c r="Q594" s="27"/>
      <c r="R594" s="28" t="s">
        <v>785</v>
      </c>
      <c r="S594" s="8" t="s">
        <v>786</v>
      </c>
      <c r="T594" s="29" t="s">
        <v>756</v>
      </c>
      <c r="U594" s="24"/>
    </row>
    <row r="595" hidden="1">
      <c r="A595" s="30">
        <v>7.290112497901E12</v>
      </c>
      <c r="B595" s="20" t="s">
        <v>787</v>
      </c>
      <c r="C595" s="21">
        <v>0.16</v>
      </c>
      <c r="D595" s="21">
        <v>0.037</v>
      </c>
      <c r="E595" s="21">
        <v>0.02</v>
      </c>
      <c r="F595" s="22">
        <v>15.0</v>
      </c>
      <c r="G595" s="23"/>
      <c r="H595" s="24" t="s">
        <v>723</v>
      </c>
      <c r="I595" s="21" t="s">
        <v>724</v>
      </c>
      <c r="J595" s="24" t="s">
        <v>788</v>
      </c>
      <c r="K595" s="21" t="s">
        <v>789</v>
      </c>
      <c r="L595" s="25" t="s">
        <v>790</v>
      </c>
      <c r="M595" s="26" t="s">
        <v>28</v>
      </c>
      <c r="N595" s="24" t="s">
        <v>501</v>
      </c>
      <c r="O595" s="24" t="s">
        <v>729</v>
      </c>
      <c r="P595" s="27"/>
      <c r="Q595" s="27"/>
      <c r="R595" s="28" t="s">
        <v>791</v>
      </c>
      <c r="S595" s="8" t="s">
        <v>792</v>
      </c>
      <c r="T595" s="29" t="s">
        <v>756</v>
      </c>
      <c r="U595" s="24"/>
    </row>
    <row r="596" hidden="1">
      <c r="A596" s="30">
        <v>7.290112494221E12</v>
      </c>
      <c r="B596" s="20" t="s">
        <v>722</v>
      </c>
      <c r="C596" s="21">
        <v>0.083</v>
      </c>
      <c r="D596" s="21">
        <v>0.12</v>
      </c>
      <c r="E596" s="21">
        <v>0.02</v>
      </c>
      <c r="F596" s="22">
        <v>15.0</v>
      </c>
      <c r="G596" s="23"/>
      <c r="H596" s="24" t="s">
        <v>723</v>
      </c>
      <c r="I596" s="21" t="s">
        <v>724</v>
      </c>
      <c r="J596" s="24" t="s">
        <v>726</v>
      </c>
      <c r="K596" s="21" t="s">
        <v>727</v>
      </c>
      <c r="L596" s="25" t="s">
        <v>728</v>
      </c>
      <c r="M596" s="26" t="s">
        <v>28</v>
      </c>
      <c r="N596" s="24" t="s">
        <v>501</v>
      </c>
      <c r="O596" s="24" t="s">
        <v>729</v>
      </c>
      <c r="P596" s="27"/>
      <c r="Q596" s="27"/>
      <c r="R596" s="28" t="s">
        <v>730</v>
      </c>
      <c r="S596" s="8" t="s">
        <v>731</v>
      </c>
      <c r="T596" s="29" t="s">
        <v>724</v>
      </c>
      <c r="U596" s="24"/>
    </row>
    <row r="597" hidden="1">
      <c r="A597" s="30">
        <v>7.290112494283E12</v>
      </c>
      <c r="B597" s="20" t="s">
        <v>757</v>
      </c>
      <c r="C597" s="21">
        <v>0.083</v>
      </c>
      <c r="D597" s="21">
        <v>0.12</v>
      </c>
      <c r="E597" s="21">
        <v>0.02</v>
      </c>
      <c r="F597" s="22">
        <v>15.0</v>
      </c>
      <c r="G597" s="23"/>
      <c r="H597" s="24" t="s">
        <v>723</v>
      </c>
      <c r="I597" s="21" t="s">
        <v>724</v>
      </c>
      <c r="J597" s="24" t="s">
        <v>758</v>
      </c>
      <c r="K597" s="21" t="s">
        <v>759</v>
      </c>
      <c r="L597" s="25" t="s">
        <v>760</v>
      </c>
      <c r="M597" s="26" t="s">
        <v>28</v>
      </c>
      <c r="N597" s="24" t="s">
        <v>501</v>
      </c>
      <c r="O597" s="24" t="s">
        <v>729</v>
      </c>
      <c r="P597" s="27"/>
      <c r="Q597" s="27"/>
      <c r="R597" s="28" t="s">
        <v>761</v>
      </c>
      <c r="S597" s="8" t="s">
        <v>762</v>
      </c>
      <c r="T597" s="29" t="s">
        <v>724</v>
      </c>
      <c r="U597" s="24"/>
    </row>
    <row r="598" hidden="1">
      <c r="A598" s="30">
        <v>7.290112494238E12</v>
      </c>
      <c r="B598" s="20" t="s">
        <v>744</v>
      </c>
      <c r="C598" s="21">
        <v>0.083</v>
      </c>
      <c r="D598" s="21">
        <v>0.12</v>
      </c>
      <c r="E598" s="21">
        <v>0.02</v>
      </c>
      <c r="F598" s="22">
        <v>15.0</v>
      </c>
      <c r="G598" s="23"/>
      <c r="H598" s="24" t="s">
        <v>723</v>
      </c>
      <c r="I598" s="21" t="s">
        <v>724</v>
      </c>
      <c r="J598" s="24" t="s">
        <v>745</v>
      </c>
      <c r="K598" s="21" t="s">
        <v>746</v>
      </c>
      <c r="L598" s="25" t="s">
        <v>747</v>
      </c>
      <c r="M598" s="26" t="s">
        <v>28</v>
      </c>
      <c r="N598" s="24" t="s">
        <v>501</v>
      </c>
      <c r="O598" s="24" t="s">
        <v>729</v>
      </c>
      <c r="P598" s="27"/>
      <c r="Q598" s="27"/>
      <c r="R598" s="28" t="s">
        <v>748</v>
      </c>
      <c r="S598" s="8" t="s">
        <v>749</v>
      </c>
      <c r="T598" s="29" t="s">
        <v>724</v>
      </c>
      <c r="U598" s="24"/>
    </row>
    <row r="599" hidden="1">
      <c r="A599" s="30">
        <v>7.290112494276E12</v>
      </c>
      <c r="B599" s="20" t="s">
        <v>738</v>
      </c>
      <c r="C599" s="21">
        <v>0.083</v>
      </c>
      <c r="D599" s="21">
        <v>0.12</v>
      </c>
      <c r="E599" s="21">
        <v>0.02</v>
      </c>
      <c r="F599" s="22">
        <v>15.0</v>
      </c>
      <c r="G599" s="23"/>
      <c r="H599" s="24" t="s">
        <v>723</v>
      </c>
      <c r="I599" s="21" t="s">
        <v>724</v>
      </c>
      <c r="J599" s="24" t="s">
        <v>739</v>
      </c>
      <c r="K599" s="21" t="s">
        <v>740</v>
      </c>
      <c r="L599" s="25" t="s">
        <v>741</v>
      </c>
      <c r="M599" s="26" t="s">
        <v>28</v>
      </c>
      <c r="N599" s="24" t="s">
        <v>501</v>
      </c>
      <c r="O599" s="24" t="s">
        <v>729</v>
      </c>
      <c r="P599" s="27"/>
      <c r="Q599" s="27"/>
      <c r="R599" s="28" t="s">
        <v>742</v>
      </c>
      <c r="S599" s="33" t="s">
        <v>743</v>
      </c>
      <c r="T599" s="29" t="s">
        <v>724</v>
      </c>
      <c r="U599" s="24"/>
    </row>
    <row r="600" hidden="1">
      <c r="A600" s="30">
        <v>7.290112494313E12</v>
      </c>
      <c r="B600" s="20" t="s">
        <v>732</v>
      </c>
      <c r="C600" s="21">
        <v>0.083</v>
      </c>
      <c r="D600" s="21">
        <v>0.12</v>
      </c>
      <c r="E600" s="21">
        <v>0.02</v>
      </c>
      <c r="F600" s="22">
        <v>15.0</v>
      </c>
      <c r="G600" s="23"/>
      <c r="H600" s="24" t="s">
        <v>723</v>
      </c>
      <c r="I600" s="21" t="s">
        <v>724</v>
      </c>
      <c r="J600" s="24" t="s">
        <v>733</v>
      </c>
      <c r="K600" s="21" t="s">
        <v>734</v>
      </c>
      <c r="L600" s="25" t="s">
        <v>735</v>
      </c>
      <c r="M600" s="26" t="s">
        <v>28</v>
      </c>
      <c r="N600" s="24" t="s">
        <v>501</v>
      </c>
      <c r="O600" s="24" t="s">
        <v>729</v>
      </c>
      <c r="P600" s="27"/>
      <c r="Q600" s="27"/>
      <c r="R600" s="28" t="s">
        <v>736</v>
      </c>
      <c r="S600" s="8" t="s">
        <v>737</v>
      </c>
      <c r="T600" s="29" t="s">
        <v>724</v>
      </c>
      <c r="U600" s="24"/>
    </row>
    <row r="601">
      <c r="A601" s="30">
        <v>7.290003009312E12</v>
      </c>
      <c r="B601" s="20" t="s">
        <v>2270</v>
      </c>
      <c r="C601" s="21">
        <v>0.11</v>
      </c>
      <c r="D601" s="21">
        <v>0.19</v>
      </c>
      <c r="E601" s="21">
        <v>0.02</v>
      </c>
      <c r="F601" s="22">
        <v>15.0</v>
      </c>
      <c r="G601" s="23"/>
      <c r="H601" s="24" t="s">
        <v>2197</v>
      </c>
      <c r="I601" s="21" t="s">
        <v>2198</v>
      </c>
      <c r="J601" s="24" t="s">
        <v>2271</v>
      </c>
      <c r="K601" s="21" t="s">
        <v>2272</v>
      </c>
      <c r="L601" s="25" t="s">
        <v>2273</v>
      </c>
      <c r="M601" s="26" t="s">
        <v>37</v>
      </c>
      <c r="N601" s="24" t="s">
        <v>1794</v>
      </c>
      <c r="O601" s="24" t="s">
        <v>1810</v>
      </c>
      <c r="P601" s="27"/>
      <c r="Q601" s="27"/>
      <c r="R601" s="28" t="s">
        <v>2274</v>
      </c>
      <c r="S601" s="8" t="s">
        <v>2275</v>
      </c>
      <c r="T601" s="29" t="e">
        <v>#N/A</v>
      </c>
      <c r="U601" s="21" t="s">
        <v>1798</v>
      </c>
    </row>
    <row r="602">
      <c r="A602" s="30">
        <v>7.290000377209E12</v>
      </c>
      <c r="B602" s="20" t="s">
        <v>2237</v>
      </c>
      <c r="C602" s="21">
        <v>0.125</v>
      </c>
      <c r="D602" s="21">
        <v>0.18</v>
      </c>
      <c r="E602" s="21">
        <v>0.02</v>
      </c>
      <c r="F602" s="22">
        <v>15.0</v>
      </c>
      <c r="G602" s="23"/>
      <c r="H602" s="24" t="s">
        <v>2197</v>
      </c>
      <c r="I602" s="21" t="s">
        <v>2198</v>
      </c>
      <c r="J602" s="24" t="s">
        <v>2238</v>
      </c>
      <c r="K602" s="21" t="s">
        <v>2239</v>
      </c>
      <c r="L602" s="25" t="s">
        <v>2240</v>
      </c>
      <c r="M602" s="26" t="s">
        <v>28</v>
      </c>
      <c r="N602" s="24" t="s">
        <v>1794</v>
      </c>
      <c r="O602" s="24" t="s">
        <v>1810</v>
      </c>
      <c r="P602" s="27"/>
      <c r="Q602" s="27"/>
      <c r="R602" s="28" t="s">
        <v>2241</v>
      </c>
      <c r="S602" s="8" t="s">
        <v>2240</v>
      </c>
      <c r="T602" s="29" t="s">
        <v>2210</v>
      </c>
      <c r="U602" s="21" t="s">
        <v>1798</v>
      </c>
    </row>
    <row r="603">
      <c r="A603" s="30">
        <v>7.290003145768E12</v>
      </c>
      <c r="B603" s="20" t="s">
        <v>2288</v>
      </c>
      <c r="C603" s="21">
        <v>0.06</v>
      </c>
      <c r="D603" s="21">
        <v>0.075</v>
      </c>
      <c r="E603" s="21">
        <v>0.24</v>
      </c>
      <c r="F603" s="22">
        <v>1.0</v>
      </c>
      <c r="G603" s="23"/>
      <c r="H603" s="24" t="s">
        <v>2197</v>
      </c>
      <c r="I603" s="21" t="s">
        <v>2198</v>
      </c>
      <c r="J603" s="24" t="s">
        <v>2289</v>
      </c>
      <c r="K603" s="21" t="s">
        <v>2290</v>
      </c>
      <c r="L603" s="25" t="s">
        <v>2291</v>
      </c>
      <c r="M603" s="26" t="s">
        <v>37</v>
      </c>
      <c r="N603" s="24" t="s">
        <v>1794</v>
      </c>
      <c r="O603" s="24" t="s">
        <v>1854</v>
      </c>
      <c r="P603" s="27"/>
      <c r="Q603" s="27"/>
      <c r="R603" s="31" t="s">
        <v>2292</v>
      </c>
      <c r="S603" s="33" t="s">
        <v>2293</v>
      </c>
      <c r="T603" s="29" t="e">
        <v>#N/A</v>
      </c>
      <c r="U603" s="21" t="s">
        <v>1798</v>
      </c>
    </row>
    <row r="604">
      <c r="A604" s="30">
        <v>7.290003009329E12</v>
      </c>
      <c r="B604" s="20" t="s">
        <v>2218</v>
      </c>
      <c r="C604" s="21">
        <v>0.12</v>
      </c>
      <c r="D604" s="21">
        <v>0.19</v>
      </c>
      <c r="E604" s="21">
        <v>0.02</v>
      </c>
      <c r="F604" s="22">
        <v>15.0</v>
      </c>
      <c r="G604" s="23"/>
      <c r="H604" s="24" t="s">
        <v>2197</v>
      </c>
      <c r="I604" s="21" t="s">
        <v>2198</v>
      </c>
      <c r="J604" s="24" t="s">
        <v>2219</v>
      </c>
      <c r="K604" s="21" t="s">
        <v>2220</v>
      </c>
      <c r="L604" s="25" t="s">
        <v>2221</v>
      </c>
      <c r="M604" s="26" t="s">
        <v>37</v>
      </c>
      <c r="N604" s="24" t="s">
        <v>1794</v>
      </c>
      <c r="O604" s="24" t="s">
        <v>1854</v>
      </c>
      <c r="P604" s="27"/>
      <c r="Q604" s="27"/>
      <c r="R604" s="28" t="s">
        <v>2222</v>
      </c>
      <c r="S604" s="8" t="s">
        <v>2223</v>
      </c>
      <c r="T604" s="29" t="e">
        <v>#N/A</v>
      </c>
      <c r="U604" s="21" t="s">
        <v>1798</v>
      </c>
    </row>
    <row r="605">
      <c r="A605" s="30">
        <v>7.290000377452E12</v>
      </c>
      <c r="B605" s="20" t="s">
        <v>2300</v>
      </c>
      <c r="C605" s="21">
        <v>0.11</v>
      </c>
      <c r="D605" s="21">
        <v>0.19</v>
      </c>
      <c r="E605" s="21">
        <v>0.02</v>
      </c>
      <c r="F605" s="22">
        <v>15.0</v>
      </c>
      <c r="G605" s="23"/>
      <c r="H605" s="24" t="s">
        <v>2197</v>
      </c>
      <c r="I605" s="21" t="s">
        <v>2198</v>
      </c>
      <c r="J605" s="24" t="s">
        <v>2301</v>
      </c>
      <c r="K605" s="21" t="s">
        <v>1859</v>
      </c>
      <c r="L605" s="25" t="s">
        <v>2302</v>
      </c>
      <c r="M605" s="26" t="s">
        <v>37</v>
      </c>
      <c r="N605" s="24" t="s">
        <v>1794</v>
      </c>
      <c r="O605" s="24" t="s">
        <v>1861</v>
      </c>
      <c r="P605" s="27"/>
      <c r="Q605" s="27"/>
      <c r="R605" s="28" t="s">
        <v>2303</v>
      </c>
      <c r="S605" s="8" t="s">
        <v>2304</v>
      </c>
      <c r="T605" s="29" t="e">
        <v>#N/A</v>
      </c>
      <c r="U605" s="21" t="s">
        <v>1798</v>
      </c>
    </row>
    <row r="606">
      <c r="A606" s="30">
        <v>7.290000148489E12</v>
      </c>
      <c r="B606" s="20" t="s">
        <v>2196</v>
      </c>
      <c r="C606" s="21">
        <v>0.145</v>
      </c>
      <c r="D606" s="21">
        <v>0.19</v>
      </c>
      <c r="E606" s="21">
        <v>0.02</v>
      </c>
      <c r="F606" s="22">
        <v>15.0</v>
      </c>
      <c r="G606" s="23"/>
      <c r="H606" s="24" t="s">
        <v>2197</v>
      </c>
      <c r="I606" s="21" t="s">
        <v>2198</v>
      </c>
      <c r="J606" s="24" t="s">
        <v>2199</v>
      </c>
      <c r="K606" s="21" t="s">
        <v>2200</v>
      </c>
      <c r="L606" s="25" t="s">
        <v>2201</v>
      </c>
      <c r="M606" s="26" t="s">
        <v>37</v>
      </c>
      <c r="N606" s="24" t="s">
        <v>1794</v>
      </c>
      <c r="O606" s="24" t="s">
        <v>2202</v>
      </c>
      <c r="P606" s="27"/>
      <c r="Q606" s="27"/>
      <c r="R606" s="28" t="s">
        <v>2203</v>
      </c>
      <c r="S606" s="8" t="s">
        <v>2204</v>
      </c>
      <c r="T606" s="29" t="e">
        <v>#N/A</v>
      </c>
      <c r="U606" s="21" t="s">
        <v>1798</v>
      </c>
    </row>
    <row r="607">
      <c r="A607" s="30">
        <v>7.290000148748E12</v>
      </c>
      <c r="B607" s="20" t="s">
        <v>2282</v>
      </c>
      <c r="C607" s="21">
        <v>0.11</v>
      </c>
      <c r="D607" s="21">
        <v>0.19</v>
      </c>
      <c r="E607" s="21">
        <v>0.02</v>
      </c>
      <c r="F607" s="22">
        <v>15.0</v>
      </c>
      <c r="G607" s="23"/>
      <c r="H607" s="24" t="s">
        <v>2197</v>
      </c>
      <c r="I607" s="21" t="s">
        <v>2198</v>
      </c>
      <c r="J607" s="24" t="s">
        <v>2283</v>
      </c>
      <c r="K607" s="21" t="s">
        <v>2284</v>
      </c>
      <c r="L607" s="25" t="s">
        <v>2285</v>
      </c>
      <c r="M607" s="26" t="s">
        <v>37</v>
      </c>
      <c r="N607" s="24" t="s">
        <v>1794</v>
      </c>
      <c r="O607" s="24" t="s">
        <v>1803</v>
      </c>
      <c r="P607" s="27"/>
      <c r="Q607" s="27"/>
      <c r="R607" s="31" t="s">
        <v>2286</v>
      </c>
      <c r="S607" s="8" t="s">
        <v>2287</v>
      </c>
      <c r="T607" s="29" t="e">
        <v>#N/A</v>
      </c>
      <c r="U607" s="21" t="s">
        <v>1798</v>
      </c>
    </row>
    <row r="608">
      <c r="A608" s="30">
        <v>7.290003145584E12</v>
      </c>
      <c r="B608" s="20" t="s">
        <v>2258</v>
      </c>
      <c r="C608" s="21">
        <v>0.08</v>
      </c>
      <c r="D608" s="21">
        <v>0.19</v>
      </c>
      <c r="E608" s="21">
        <v>0.02</v>
      </c>
      <c r="F608" s="22">
        <v>15.0</v>
      </c>
      <c r="G608" s="23"/>
      <c r="H608" s="24" t="s">
        <v>2197</v>
      </c>
      <c r="I608" s="21" t="s">
        <v>2198</v>
      </c>
      <c r="J608" s="24" t="s">
        <v>2259</v>
      </c>
      <c r="K608" s="21" t="s">
        <v>2260</v>
      </c>
      <c r="L608" s="25" t="s">
        <v>2261</v>
      </c>
      <c r="M608" s="26" t="s">
        <v>37</v>
      </c>
      <c r="N608" s="24" t="s">
        <v>1794</v>
      </c>
      <c r="O608" s="24" t="s">
        <v>1828</v>
      </c>
      <c r="P608" s="27"/>
      <c r="Q608" s="27"/>
      <c r="R608" s="31" t="s">
        <v>2262</v>
      </c>
      <c r="S608" s="33" t="s">
        <v>2263</v>
      </c>
      <c r="T608" s="29" t="e">
        <v>#N/A</v>
      </c>
      <c r="U608" s="21" t="s">
        <v>1798</v>
      </c>
    </row>
    <row r="609">
      <c r="A609" s="30">
        <v>7.290003009336E12</v>
      </c>
      <c r="B609" s="20" t="s">
        <v>2224</v>
      </c>
      <c r="C609" s="21">
        <v>0.12</v>
      </c>
      <c r="D609" s="21">
        <v>0.19</v>
      </c>
      <c r="E609" s="21">
        <v>0.02</v>
      </c>
      <c r="F609" s="22">
        <v>15.0</v>
      </c>
      <c r="G609" s="23"/>
      <c r="H609" s="24" t="s">
        <v>2197</v>
      </c>
      <c r="I609" s="21" t="s">
        <v>2198</v>
      </c>
      <c r="J609" s="24" t="s">
        <v>2225</v>
      </c>
      <c r="K609" s="21" t="s">
        <v>2226</v>
      </c>
      <c r="L609" s="25" t="s">
        <v>2227</v>
      </c>
      <c r="M609" s="26" t="s">
        <v>37</v>
      </c>
      <c r="N609" s="24" t="s">
        <v>1794</v>
      </c>
      <c r="O609" s="24" t="s">
        <v>2228</v>
      </c>
      <c r="P609" s="27"/>
      <c r="Q609" s="27"/>
      <c r="R609" s="28" t="s">
        <v>2229</v>
      </c>
      <c r="S609" s="8" t="s">
        <v>2230</v>
      </c>
      <c r="T609" s="29" t="e">
        <v>#N/A</v>
      </c>
      <c r="U609" s="21" t="s">
        <v>1798</v>
      </c>
    </row>
    <row r="610">
      <c r="A610" s="30">
        <v>7.290000148618E12</v>
      </c>
      <c r="B610" s="20" t="s">
        <v>2231</v>
      </c>
      <c r="C610" s="21">
        <v>0.135</v>
      </c>
      <c r="D610" s="21">
        <v>0.19</v>
      </c>
      <c r="E610" s="21">
        <v>0.02</v>
      </c>
      <c r="F610" s="22">
        <v>15.0</v>
      </c>
      <c r="G610" s="23"/>
      <c r="H610" s="24" t="s">
        <v>2197</v>
      </c>
      <c r="I610" s="21" t="s">
        <v>2198</v>
      </c>
      <c r="J610" s="24" t="s">
        <v>2232</v>
      </c>
      <c r="K610" s="21" t="s">
        <v>2233</v>
      </c>
      <c r="L610" s="25" t="s">
        <v>2234</v>
      </c>
      <c r="M610" s="26" t="s">
        <v>37</v>
      </c>
      <c r="N610" s="24" t="s">
        <v>1794</v>
      </c>
      <c r="O610" s="24" t="s">
        <v>1841</v>
      </c>
      <c r="P610" s="27"/>
      <c r="Q610" s="27"/>
      <c r="R610" s="31" t="s">
        <v>2235</v>
      </c>
      <c r="S610" s="33" t="s">
        <v>2236</v>
      </c>
      <c r="T610" s="29" t="e">
        <v>#N/A</v>
      </c>
      <c r="U610" s="21" t="s">
        <v>1798</v>
      </c>
    </row>
    <row r="611">
      <c r="A611" s="30">
        <v>7.290003145577E12</v>
      </c>
      <c r="B611" s="20" t="s">
        <v>2264</v>
      </c>
      <c r="C611" s="21">
        <v>0.08</v>
      </c>
      <c r="D611" s="21">
        <v>0.19</v>
      </c>
      <c r="E611" s="21">
        <v>0.02</v>
      </c>
      <c r="F611" s="22">
        <v>15.0</v>
      </c>
      <c r="G611" s="23"/>
      <c r="H611" s="24" t="s">
        <v>2197</v>
      </c>
      <c r="I611" s="21" t="s">
        <v>2198</v>
      </c>
      <c r="J611" s="24" t="s">
        <v>2265</v>
      </c>
      <c r="K611" s="21" t="s">
        <v>2266</v>
      </c>
      <c r="L611" s="25" t="s">
        <v>2267</v>
      </c>
      <c r="M611" s="26" t="s">
        <v>37</v>
      </c>
      <c r="N611" s="24" t="s">
        <v>1794</v>
      </c>
      <c r="O611" s="24" t="s">
        <v>1841</v>
      </c>
      <c r="P611" s="27"/>
      <c r="Q611" s="27"/>
      <c r="R611" s="28" t="s">
        <v>2268</v>
      </c>
      <c r="S611" s="8" t="s">
        <v>2269</v>
      </c>
      <c r="T611" s="29" t="e">
        <v>#N/A</v>
      </c>
      <c r="U611" s="21" t="s">
        <v>1798</v>
      </c>
    </row>
    <row r="612">
      <c r="A612" s="30">
        <v>7.29000314556E12</v>
      </c>
      <c r="B612" s="20" t="s">
        <v>2294</v>
      </c>
      <c r="C612" s="21">
        <v>0.08</v>
      </c>
      <c r="D612" s="21">
        <v>0.19</v>
      </c>
      <c r="E612" s="21">
        <v>0.02</v>
      </c>
      <c r="F612" s="22">
        <v>15.0</v>
      </c>
      <c r="G612" s="23"/>
      <c r="H612" s="24" t="s">
        <v>2197</v>
      </c>
      <c r="I612" s="21" t="s">
        <v>2198</v>
      </c>
      <c r="J612" s="24" t="s">
        <v>2295</v>
      </c>
      <c r="K612" s="21" t="s">
        <v>2296</v>
      </c>
      <c r="L612" s="25" t="s">
        <v>2297</v>
      </c>
      <c r="M612" s="26" t="s">
        <v>37</v>
      </c>
      <c r="N612" s="24" t="s">
        <v>1794</v>
      </c>
      <c r="O612" s="24" t="s">
        <v>2215</v>
      </c>
      <c r="P612" s="27"/>
      <c r="Q612" s="27"/>
      <c r="R612" s="28" t="s">
        <v>2298</v>
      </c>
      <c r="S612" s="8" t="s">
        <v>2299</v>
      </c>
      <c r="T612" s="29" t="e">
        <v>#N/A</v>
      </c>
      <c r="U612" s="21" t="s">
        <v>1798</v>
      </c>
    </row>
    <row r="613">
      <c r="A613" s="30">
        <v>7.290000148939E12</v>
      </c>
      <c r="B613" s="20" t="s">
        <v>2211</v>
      </c>
      <c r="C613" s="21">
        <v>0.11</v>
      </c>
      <c r="D613" s="21">
        <v>0.19</v>
      </c>
      <c r="E613" s="21">
        <v>0.02</v>
      </c>
      <c r="F613" s="22">
        <v>15.0</v>
      </c>
      <c r="G613" s="23"/>
      <c r="H613" s="24" t="s">
        <v>2197</v>
      </c>
      <c r="I613" s="21" t="s">
        <v>2198</v>
      </c>
      <c r="J613" s="24" t="s">
        <v>2212</v>
      </c>
      <c r="K613" s="21" t="s">
        <v>2213</v>
      </c>
      <c r="L613" s="25" t="s">
        <v>2214</v>
      </c>
      <c r="M613" s="26" t="s">
        <v>37</v>
      </c>
      <c r="N613" s="24" t="s">
        <v>1794</v>
      </c>
      <c r="O613" s="24" t="s">
        <v>2215</v>
      </c>
      <c r="P613" s="27"/>
      <c r="Q613" s="27"/>
      <c r="R613" s="28" t="s">
        <v>2216</v>
      </c>
      <c r="S613" s="8" t="s">
        <v>2217</v>
      </c>
      <c r="T613" s="29" t="e">
        <v>#N/A</v>
      </c>
      <c r="U613" s="21" t="s">
        <v>1798</v>
      </c>
    </row>
    <row r="614">
      <c r="A614" s="30">
        <v>7.290003896141E12</v>
      </c>
      <c r="B614" s="20" t="s">
        <v>2205</v>
      </c>
      <c r="C614" s="21">
        <v>0.11</v>
      </c>
      <c r="D614" s="21">
        <v>0.19</v>
      </c>
      <c r="E614" s="21">
        <v>0.02</v>
      </c>
      <c r="F614" s="22">
        <v>15.0</v>
      </c>
      <c r="G614" s="23"/>
      <c r="H614" s="24" t="s">
        <v>2197</v>
      </c>
      <c r="I614" s="21" t="s">
        <v>2198</v>
      </c>
      <c r="J614" s="24" t="s">
        <v>2206</v>
      </c>
      <c r="K614" s="21" t="s">
        <v>2207</v>
      </c>
      <c r="L614" s="25" t="s">
        <v>2208</v>
      </c>
      <c r="M614" s="26" t="s">
        <v>28</v>
      </c>
      <c r="N614" s="24" t="s">
        <v>1794</v>
      </c>
      <c r="O614" s="24" t="s">
        <v>1795</v>
      </c>
      <c r="P614" s="27"/>
      <c r="Q614" s="27"/>
      <c r="R614" s="28" t="s">
        <v>2209</v>
      </c>
      <c r="S614" s="8" t="s">
        <v>2208</v>
      </c>
      <c r="T614" s="29" t="s">
        <v>2210</v>
      </c>
      <c r="U614" s="21" t="s">
        <v>1798</v>
      </c>
    </row>
    <row r="615">
      <c r="A615" s="30">
        <v>7.290000377445E12</v>
      </c>
      <c r="B615" s="20" t="s">
        <v>2247</v>
      </c>
      <c r="C615" s="21">
        <v>0.11</v>
      </c>
      <c r="D615" s="21">
        <v>0.19</v>
      </c>
      <c r="E615" s="21">
        <v>0.02</v>
      </c>
      <c r="F615" s="22">
        <v>15.0</v>
      </c>
      <c r="G615" s="23"/>
      <c r="H615" s="24" t="s">
        <v>2197</v>
      </c>
      <c r="I615" s="21" t="s">
        <v>2198</v>
      </c>
      <c r="J615" s="24" t="s">
        <v>2248</v>
      </c>
      <c r="K615" s="21" t="s">
        <v>2249</v>
      </c>
      <c r="L615" s="25" t="s">
        <v>2250</v>
      </c>
      <c r="M615" s="26" t="s">
        <v>37</v>
      </c>
      <c r="N615" s="24" t="s">
        <v>1794</v>
      </c>
      <c r="O615" s="24" t="s">
        <v>1795</v>
      </c>
      <c r="P615" s="27"/>
      <c r="Q615" s="27"/>
      <c r="R615" s="28" t="s">
        <v>2251</v>
      </c>
      <c r="S615" s="8" t="s">
        <v>2252</v>
      </c>
      <c r="T615" s="29" t="e">
        <v>#N/A</v>
      </c>
      <c r="U615" s="21" t="s">
        <v>1798</v>
      </c>
    </row>
    <row r="616">
      <c r="A616" s="30">
        <v>7.290003142699E12</v>
      </c>
      <c r="B616" s="20" t="s">
        <v>2253</v>
      </c>
      <c r="C616" s="21">
        <v>0.1186</v>
      </c>
      <c r="D616" s="21">
        <v>0.19</v>
      </c>
      <c r="E616" s="21">
        <v>0.03</v>
      </c>
      <c r="F616" s="22">
        <v>15.0</v>
      </c>
      <c r="G616" s="23"/>
      <c r="H616" s="24" t="s">
        <v>2197</v>
      </c>
      <c r="I616" s="21" t="s">
        <v>2198</v>
      </c>
      <c r="J616" s="24" t="s">
        <v>2254</v>
      </c>
      <c r="K616" s="21" t="s">
        <v>2255</v>
      </c>
      <c r="L616" s="25" t="s">
        <v>2256</v>
      </c>
      <c r="M616" s="26" t="s">
        <v>28</v>
      </c>
      <c r="N616" s="24" t="s">
        <v>1794</v>
      </c>
      <c r="O616" s="24" t="s">
        <v>1795</v>
      </c>
      <c r="P616" s="27"/>
      <c r="Q616" s="27"/>
      <c r="R616" s="28" t="s">
        <v>2257</v>
      </c>
      <c r="S616" s="8" t="s">
        <v>2256</v>
      </c>
      <c r="T616" s="29" t="s">
        <v>2210</v>
      </c>
      <c r="U616" s="21" t="s">
        <v>1798</v>
      </c>
    </row>
    <row r="617">
      <c r="A617" s="30">
        <v>7.290111351327E12</v>
      </c>
      <c r="B617" s="20" t="s">
        <v>2242</v>
      </c>
      <c r="C617" s="21">
        <v>0.297</v>
      </c>
      <c r="D617" s="21">
        <v>0.19</v>
      </c>
      <c r="E617" s="21">
        <v>0.03</v>
      </c>
      <c r="F617" s="22">
        <v>15.0</v>
      </c>
      <c r="G617" s="23"/>
      <c r="H617" s="24" t="s">
        <v>2197</v>
      </c>
      <c r="I617" s="21" t="s">
        <v>2198</v>
      </c>
      <c r="J617" s="24" t="s">
        <v>2243</v>
      </c>
      <c r="K617" s="21" t="s">
        <v>2244</v>
      </c>
      <c r="L617" s="25" t="s">
        <v>2245</v>
      </c>
      <c r="M617" s="26" t="s">
        <v>28</v>
      </c>
      <c r="N617" s="24" t="s">
        <v>1794</v>
      </c>
      <c r="O617" s="24" t="s">
        <v>1795</v>
      </c>
      <c r="P617" s="27"/>
      <c r="Q617" s="27"/>
      <c r="R617" s="28" t="s">
        <v>2246</v>
      </c>
      <c r="S617" s="8" t="s">
        <v>2245</v>
      </c>
      <c r="T617" s="29" t="s">
        <v>2210</v>
      </c>
      <c r="U617" s="21" t="s">
        <v>1798</v>
      </c>
    </row>
    <row r="618" hidden="1">
      <c r="A618" s="30">
        <v>5.411081003654E12</v>
      </c>
      <c r="B618" s="20" t="s">
        <v>2037</v>
      </c>
      <c r="C618" s="21">
        <v>0.06</v>
      </c>
      <c r="D618" s="21">
        <v>0.19</v>
      </c>
      <c r="E618" s="21">
        <v>0.06</v>
      </c>
      <c r="F618" s="22">
        <v>5.0</v>
      </c>
      <c r="G618" s="23"/>
      <c r="H618" s="24" t="s">
        <v>2038</v>
      </c>
      <c r="I618" s="21" t="s">
        <v>2039</v>
      </c>
      <c r="J618" s="24" t="s">
        <v>2040</v>
      </c>
      <c r="K618" s="21" t="s">
        <v>2041</v>
      </c>
      <c r="L618" s="25" t="s">
        <v>2042</v>
      </c>
      <c r="M618" s="26" t="s">
        <v>28</v>
      </c>
      <c r="N618" s="24" t="s">
        <v>365</v>
      </c>
      <c r="O618" s="24" t="s">
        <v>536</v>
      </c>
      <c r="P618" s="27"/>
      <c r="Q618" s="27"/>
      <c r="R618" s="28" t="s">
        <v>2043</v>
      </c>
      <c r="S618" s="8" t="s">
        <v>2044</v>
      </c>
      <c r="T618" s="29" t="s">
        <v>2045</v>
      </c>
      <c r="U618" s="24"/>
    </row>
    <row r="619" hidden="1">
      <c r="A619" s="30">
        <v>7.290005201882E12</v>
      </c>
      <c r="B619" s="20" t="s">
        <v>5247</v>
      </c>
      <c r="C619" s="21">
        <v>0.12</v>
      </c>
      <c r="D619" s="21">
        <v>0.18</v>
      </c>
      <c r="E619" s="21">
        <v>0.02</v>
      </c>
      <c r="F619" s="22">
        <v>15.0</v>
      </c>
      <c r="G619" s="23"/>
      <c r="H619" s="24" t="s">
        <v>1217</v>
      </c>
      <c r="I619" s="21" t="s">
        <v>5248</v>
      </c>
      <c r="J619" s="24" t="s">
        <v>1291</v>
      </c>
      <c r="K619" s="21" t="s">
        <v>1292</v>
      </c>
      <c r="L619" s="25" t="s">
        <v>1293</v>
      </c>
      <c r="M619" s="26" t="s">
        <v>37</v>
      </c>
      <c r="N619" s="24" t="s">
        <v>1262</v>
      </c>
      <c r="O619" s="24" t="s">
        <v>1263</v>
      </c>
      <c r="P619" s="27"/>
      <c r="Q619" s="27"/>
      <c r="R619" s="31" t="s">
        <v>1294</v>
      </c>
      <c r="S619" s="8" t="s">
        <v>1295</v>
      </c>
      <c r="T619" s="29" t="e">
        <v>#N/A</v>
      </c>
      <c r="U619" s="24"/>
    </row>
    <row r="620" hidden="1">
      <c r="A620" s="30">
        <v>7.29000017642E12</v>
      </c>
      <c r="B620" s="20" t="s">
        <v>5249</v>
      </c>
      <c r="C620" s="21">
        <v>0.09</v>
      </c>
      <c r="D620" s="21">
        <v>0.174</v>
      </c>
      <c r="E620" s="21">
        <v>0.093</v>
      </c>
      <c r="F620" s="22">
        <v>3.0</v>
      </c>
      <c r="G620" s="23"/>
      <c r="H620" s="24" t="s">
        <v>1217</v>
      </c>
      <c r="I620" s="21" t="s">
        <v>5248</v>
      </c>
      <c r="J620" s="24" t="s">
        <v>1276</v>
      </c>
      <c r="K620" s="21" t="s">
        <v>1277</v>
      </c>
      <c r="L620" s="25" t="s">
        <v>1278</v>
      </c>
      <c r="M620" s="26" t="s">
        <v>37</v>
      </c>
      <c r="N620" s="24" t="s">
        <v>1262</v>
      </c>
      <c r="O620" s="24" t="s">
        <v>1263</v>
      </c>
      <c r="P620" s="27"/>
      <c r="Q620" s="27"/>
      <c r="R620" s="31" t="s">
        <v>1279</v>
      </c>
      <c r="S620" s="8" t="s">
        <v>1280</v>
      </c>
      <c r="T620" s="29" t="e">
        <v>#N/A</v>
      </c>
      <c r="U620" s="24"/>
    </row>
    <row r="621" hidden="1">
      <c r="A621" s="30">
        <v>7.290112344427E12</v>
      </c>
      <c r="B621" s="20" t="s">
        <v>5250</v>
      </c>
      <c r="C621" s="21">
        <v>0.08</v>
      </c>
      <c r="D621" s="21">
        <v>0.13</v>
      </c>
      <c r="E621" s="21">
        <v>0.057</v>
      </c>
      <c r="F621" s="22">
        <v>5.0</v>
      </c>
      <c r="G621" s="23"/>
      <c r="H621" s="24" t="s">
        <v>1217</v>
      </c>
      <c r="I621" s="21" t="s">
        <v>5248</v>
      </c>
      <c r="J621" s="24" t="s">
        <v>1259</v>
      </c>
      <c r="K621" s="21" t="s">
        <v>1260</v>
      </c>
      <c r="L621" s="25" t="s">
        <v>1261</v>
      </c>
      <c r="M621" s="26" t="s">
        <v>28</v>
      </c>
      <c r="N621" s="24" t="s">
        <v>1262</v>
      </c>
      <c r="O621" s="24" t="s">
        <v>1263</v>
      </c>
      <c r="P621" s="27"/>
      <c r="Q621" s="27"/>
      <c r="R621" s="31" t="s">
        <v>1264</v>
      </c>
      <c r="S621" s="8" t="s">
        <v>1265</v>
      </c>
      <c r="T621" s="29" t="s">
        <v>1266</v>
      </c>
      <c r="U621" s="24"/>
    </row>
    <row r="622" hidden="1">
      <c r="A622" s="30">
        <v>7.290107956932E12</v>
      </c>
      <c r="B622" s="20" t="s">
        <v>5251</v>
      </c>
      <c r="C622" s="21">
        <v>0.08</v>
      </c>
      <c r="D622" s="21">
        <v>0.195</v>
      </c>
      <c r="E622" s="21">
        <v>0.03</v>
      </c>
      <c r="F622" s="22">
        <v>10.0</v>
      </c>
      <c r="G622" s="23"/>
      <c r="H622" s="24" t="s">
        <v>1217</v>
      </c>
      <c r="I622" s="21" t="s">
        <v>5248</v>
      </c>
      <c r="J622" s="24" t="s">
        <v>1236</v>
      </c>
      <c r="K622" s="21" t="s">
        <v>1237</v>
      </c>
      <c r="L622" s="25" t="s">
        <v>1238</v>
      </c>
      <c r="M622" s="26" t="s">
        <v>28</v>
      </c>
      <c r="N622" s="24" t="s">
        <v>1222</v>
      </c>
      <c r="O622" s="24" t="s">
        <v>1223</v>
      </c>
      <c r="P622" s="27"/>
      <c r="Q622" s="27"/>
      <c r="R622" s="31" t="s">
        <v>1239</v>
      </c>
      <c r="S622" s="33" t="s">
        <v>1240</v>
      </c>
      <c r="T622" s="29" t="s">
        <v>1226</v>
      </c>
      <c r="U622" s="24"/>
    </row>
    <row r="623" hidden="1">
      <c r="A623" s="30">
        <v>7.290106525399E12</v>
      </c>
      <c r="B623" s="20" t="s">
        <v>5252</v>
      </c>
      <c r="C623" s="21">
        <v>0.08</v>
      </c>
      <c r="D623" s="21">
        <v>0.195</v>
      </c>
      <c r="E623" s="21">
        <v>0.03</v>
      </c>
      <c r="F623" s="22">
        <v>10.0</v>
      </c>
      <c r="G623" s="23"/>
      <c r="H623" s="24" t="s">
        <v>1217</v>
      </c>
      <c r="I623" s="21" t="s">
        <v>5248</v>
      </c>
      <c r="J623" s="24" t="s">
        <v>1229</v>
      </c>
      <c r="K623" s="21" t="s">
        <v>1230</v>
      </c>
      <c r="L623" s="25" t="s">
        <v>1231</v>
      </c>
      <c r="M623" s="26" t="s">
        <v>28</v>
      </c>
      <c r="N623" s="24" t="s">
        <v>1222</v>
      </c>
      <c r="O623" s="24" t="s">
        <v>1223</v>
      </c>
      <c r="P623" s="27"/>
      <c r="Q623" s="27"/>
      <c r="R623" s="31" t="s">
        <v>1232</v>
      </c>
      <c r="S623" s="33" t="s">
        <v>1233</v>
      </c>
      <c r="T623" s="29" t="s">
        <v>1226</v>
      </c>
      <c r="U623" s="24"/>
    </row>
    <row r="624" hidden="1">
      <c r="A624" s="30">
        <v>8.003753158556E12</v>
      </c>
      <c r="B624" s="20" t="s">
        <v>5253</v>
      </c>
      <c r="C624" s="21">
        <v>0.09</v>
      </c>
      <c r="D624" s="21">
        <v>0.195</v>
      </c>
      <c r="E624" s="21">
        <v>0.13</v>
      </c>
      <c r="F624" s="22">
        <v>2.0</v>
      </c>
      <c r="G624" s="23"/>
      <c r="H624" s="24" t="s">
        <v>1217</v>
      </c>
      <c r="I624" s="21" t="s">
        <v>5248</v>
      </c>
      <c r="J624" s="24" t="s">
        <v>1251</v>
      </c>
      <c r="K624" s="21" t="s">
        <v>1252</v>
      </c>
      <c r="L624" s="25" t="s">
        <v>1253</v>
      </c>
      <c r="M624" s="26" t="s">
        <v>28</v>
      </c>
      <c r="N624" s="24" t="s">
        <v>1222</v>
      </c>
      <c r="O624" s="24" t="s">
        <v>1223</v>
      </c>
      <c r="P624" s="27"/>
      <c r="Q624" s="27"/>
      <c r="R624" s="31" t="s">
        <v>1254</v>
      </c>
      <c r="S624" s="33" t="s">
        <v>1255</v>
      </c>
      <c r="T624" s="29" t="s">
        <v>1256</v>
      </c>
      <c r="U624" s="24"/>
    </row>
    <row r="625" hidden="1">
      <c r="A625" s="30">
        <v>7.290110566623E12</v>
      </c>
      <c r="B625" s="20" t="s">
        <v>5254</v>
      </c>
      <c r="C625" s="21">
        <v>0.08</v>
      </c>
      <c r="D625" s="21">
        <v>0.195</v>
      </c>
      <c r="E625" s="21">
        <v>0.03</v>
      </c>
      <c r="F625" s="22">
        <v>10.0</v>
      </c>
      <c r="G625" s="23"/>
      <c r="H625" s="24" t="s">
        <v>1217</v>
      </c>
      <c r="I625" s="21" t="s">
        <v>5248</v>
      </c>
      <c r="J625" s="24" t="s">
        <v>1219</v>
      </c>
      <c r="K625" s="21" t="s">
        <v>1220</v>
      </c>
      <c r="L625" s="25" t="s">
        <v>1221</v>
      </c>
      <c r="M625" s="26" t="s">
        <v>28</v>
      </c>
      <c r="N625" s="24" t="s">
        <v>1222</v>
      </c>
      <c r="O625" s="24" t="s">
        <v>1223</v>
      </c>
      <c r="P625" s="27"/>
      <c r="Q625" s="27"/>
      <c r="R625" s="31" t="s">
        <v>1224</v>
      </c>
      <c r="S625" s="33" t="s">
        <v>1225</v>
      </c>
      <c r="T625" s="29" t="s">
        <v>1226</v>
      </c>
      <c r="U625" s="24"/>
    </row>
    <row r="626" hidden="1">
      <c r="A626" s="30">
        <v>7.290105360328E12</v>
      </c>
      <c r="B626" s="20" t="s">
        <v>5255</v>
      </c>
      <c r="C626" s="21">
        <v>0.08</v>
      </c>
      <c r="D626" s="21">
        <v>0.195</v>
      </c>
      <c r="E626" s="21">
        <v>0.03</v>
      </c>
      <c r="F626" s="22">
        <v>10.0</v>
      </c>
      <c r="G626" s="23"/>
      <c r="H626" s="24" t="s">
        <v>1217</v>
      </c>
      <c r="I626" s="21" t="s">
        <v>5248</v>
      </c>
      <c r="J626" s="24" t="s">
        <v>1269</v>
      </c>
      <c r="K626" s="21" t="s">
        <v>1270</v>
      </c>
      <c r="L626" s="25" t="s">
        <v>1271</v>
      </c>
      <c r="M626" s="26" t="s">
        <v>28</v>
      </c>
      <c r="N626" s="24" t="s">
        <v>1222</v>
      </c>
      <c r="O626" s="24" t="s">
        <v>1223</v>
      </c>
      <c r="P626" s="27"/>
      <c r="Q626" s="27"/>
      <c r="R626" s="31" t="s">
        <v>1272</v>
      </c>
      <c r="S626" s="8" t="s">
        <v>1273</v>
      </c>
      <c r="T626" s="29" t="s">
        <v>1226</v>
      </c>
      <c r="U626" s="24"/>
    </row>
    <row r="627" hidden="1">
      <c r="A627" s="30">
        <v>7.290107953559E12</v>
      </c>
      <c r="B627" s="20" t="s">
        <v>5256</v>
      </c>
      <c r="C627" s="21">
        <v>0.11</v>
      </c>
      <c r="D627" s="21">
        <v>0.18</v>
      </c>
      <c r="E627" s="21">
        <v>0.025</v>
      </c>
      <c r="F627" s="22">
        <v>12.0</v>
      </c>
      <c r="G627" s="23"/>
      <c r="H627" s="24" t="s">
        <v>1217</v>
      </c>
      <c r="I627" s="21" t="s">
        <v>5248</v>
      </c>
      <c r="J627" s="24" t="s">
        <v>1243</v>
      </c>
      <c r="K627" s="21" t="s">
        <v>1244</v>
      </c>
      <c r="L627" s="25" t="s">
        <v>1245</v>
      </c>
      <c r="M627" s="26" t="s">
        <v>28</v>
      </c>
      <c r="N627" s="24" t="s">
        <v>51</v>
      </c>
      <c r="O627" s="24" t="s">
        <v>52</v>
      </c>
      <c r="P627" s="27"/>
      <c r="Q627" s="27"/>
      <c r="R627" s="31" t="s">
        <v>1246</v>
      </c>
      <c r="S627" s="33" t="s">
        <v>1247</v>
      </c>
      <c r="T627" s="29" t="s">
        <v>1248</v>
      </c>
      <c r="U627" s="24"/>
    </row>
    <row r="628" hidden="1">
      <c r="A628" s="30">
        <v>7.290000176062E12</v>
      </c>
      <c r="B628" s="20" t="s">
        <v>5257</v>
      </c>
      <c r="C628" s="21">
        <v>0.09999999</v>
      </c>
      <c r="D628" s="21">
        <v>0.15</v>
      </c>
      <c r="E628" s="21">
        <v>0.02</v>
      </c>
      <c r="F628" s="22">
        <v>15.0</v>
      </c>
      <c r="G628" s="23"/>
      <c r="H628" s="24" t="s">
        <v>1217</v>
      </c>
      <c r="I628" s="21" t="s">
        <v>5248</v>
      </c>
      <c r="J628" s="24" t="s">
        <v>1283</v>
      </c>
      <c r="K628" s="21" t="s">
        <v>1284</v>
      </c>
      <c r="L628" s="25" t="s">
        <v>5258</v>
      </c>
      <c r="M628" s="26" t="s">
        <v>37</v>
      </c>
      <c r="N628" s="24" t="s">
        <v>51</v>
      </c>
      <c r="O628" s="24" t="s">
        <v>52</v>
      </c>
      <c r="P628" s="27"/>
      <c r="Q628" s="27"/>
      <c r="R628" s="31" t="s">
        <v>1286</v>
      </c>
      <c r="S628" s="33" t="s">
        <v>1287</v>
      </c>
      <c r="T628" s="29" t="e">
        <v>#N/A</v>
      </c>
      <c r="U628" s="24"/>
    </row>
    <row r="629" hidden="1">
      <c r="A629" s="30">
        <v>1.6000548596E10</v>
      </c>
      <c r="B629" s="20" t="s">
        <v>993</v>
      </c>
      <c r="C629" s="21">
        <v>0.13</v>
      </c>
      <c r="D629" s="21">
        <v>0.045</v>
      </c>
      <c r="E629" s="21">
        <v>0.02</v>
      </c>
      <c r="F629" s="22">
        <v>15.0</v>
      </c>
      <c r="G629" s="23"/>
      <c r="H629" s="24" t="s">
        <v>985</v>
      </c>
      <c r="I629" s="21" t="s">
        <v>986</v>
      </c>
      <c r="J629" s="24" t="s">
        <v>994</v>
      </c>
      <c r="K629" s="21" t="s">
        <v>995</v>
      </c>
      <c r="L629" s="25" t="s">
        <v>996</v>
      </c>
      <c r="M629" s="26" t="s">
        <v>28</v>
      </c>
      <c r="N629" s="24" t="s">
        <v>320</v>
      </c>
      <c r="O629" s="24" t="s">
        <v>321</v>
      </c>
      <c r="P629" s="27"/>
      <c r="Q629" s="27"/>
      <c r="R629" s="28" t="s">
        <v>997</v>
      </c>
      <c r="S629" s="8" t="s">
        <v>998</v>
      </c>
      <c r="T629" s="29" t="s">
        <v>992</v>
      </c>
      <c r="U629" s="24"/>
    </row>
    <row r="630" hidden="1">
      <c r="A630" s="30">
        <v>1.6000548497E10</v>
      </c>
      <c r="B630" s="20" t="s">
        <v>984</v>
      </c>
      <c r="C630" s="21">
        <v>0.13</v>
      </c>
      <c r="D630" s="21">
        <v>0.045</v>
      </c>
      <c r="E630" s="21">
        <v>0.02</v>
      </c>
      <c r="F630" s="22">
        <v>15.0</v>
      </c>
      <c r="G630" s="23"/>
      <c r="H630" s="24" t="s">
        <v>985</v>
      </c>
      <c r="I630" s="21" t="s">
        <v>986</v>
      </c>
      <c r="J630" s="24" t="s">
        <v>987</v>
      </c>
      <c r="K630" s="21" t="s">
        <v>988</v>
      </c>
      <c r="L630" s="25" t="s">
        <v>989</v>
      </c>
      <c r="M630" s="26" t="s">
        <v>28</v>
      </c>
      <c r="N630" s="24" t="s">
        <v>320</v>
      </c>
      <c r="O630" s="24" t="s">
        <v>321</v>
      </c>
      <c r="P630" s="27"/>
      <c r="Q630" s="27"/>
      <c r="R630" s="28" t="s">
        <v>990</v>
      </c>
      <c r="S630" s="8" t="s">
        <v>991</v>
      </c>
      <c r="T630" s="29" t="s">
        <v>992</v>
      </c>
      <c r="U630" s="24"/>
    </row>
    <row r="631" hidden="1">
      <c r="A631" s="30">
        <v>1.6000507777E10</v>
      </c>
      <c r="B631" s="20" t="s">
        <v>999</v>
      </c>
      <c r="C631" s="21">
        <v>0.13</v>
      </c>
      <c r="D631" s="21">
        <v>0.045</v>
      </c>
      <c r="E631" s="21">
        <v>0.02</v>
      </c>
      <c r="F631" s="22">
        <v>15.0</v>
      </c>
      <c r="G631" s="23"/>
      <c r="H631" s="24" t="s">
        <v>985</v>
      </c>
      <c r="I631" s="21" t="s">
        <v>986</v>
      </c>
      <c r="J631" s="24" t="s">
        <v>1000</v>
      </c>
      <c r="K631" s="21" t="s">
        <v>1001</v>
      </c>
      <c r="L631" s="25" t="s">
        <v>1002</v>
      </c>
      <c r="M631" s="26" t="s">
        <v>28</v>
      </c>
      <c r="N631" s="24" t="s">
        <v>320</v>
      </c>
      <c r="O631" s="24" t="s">
        <v>321</v>
      </c>
      <c r="P631" s="27"/>
      <c r="Q631" s="27"/>
      <c r="R631" s="28" t="s">
        <v>1003</v>
      </c>
      <c r="S631" s="8" t="s">
        <v>1004</v>
      </c>
      <c r="T631" s="29" t="s">
        <v>992</v>
      </c>
      <c r="U631" s="24"/>
    </row>
    <row r="632" hidden="1">
      <c r="A632" s="30">
        <v>7.290008909761E12</v>
      </c>
      <c r="B632" s="20" t="s">
        <v>567</v>
      </c>
      <c r="C632" s="21">
        <v>0.056</v>
      </c>
      <c r="D632" s="21">
        <v>0.233</v>
      </c>
      <c r="E632" s="21">
        <v>0.056</v>
      </c>
      <c r="F632" s="22">
        <v>5.0</v>
      </c>
      <c r="G632" s="23"/>
      <c r="H632" s="24" t="s">
        <v>557</v>
      </c>
      <c r="I632" s="21" t="s">
        <v>558</v>
      </c>
      <c r="J632" s="24" t="s">
        <v>568</v>
      </c>
      <c r="K632" s="21" t="s">
        <v>569</v>
      </c>
      <c r="L632" s="25" t="s">
        <v>5259</v>
      </c>
      <c r="M632" s="26" t="s">
        <v>37</v>
      </c>
      <c r="N632" s="24" t="s">
        <v>365</v>
      </c>
      <c r="O632" s="24" t="s">
        <v>536</v>
      </c>
      <c r="P632" s="27"/>
      <c r="Q632" s="27"/>
      <c r="R632" s="28" t="s">
        <v>571</v>
      </c>
      <c r="S632" s="8" t="s">
        <v>572</v>
      </c>
      <c r="T632" s="29" t="e">
        <v>#N/A</v>
      </c>
      <c r="U632" s="24"/>
    </row>
    <row r="633" hidden="1">
      <c r="A633" s="30">
        <v>7.290110113421E12</v>
      </c>
      <c r="B633" s="20" t="s">
        <v>580</v>
      </c>
      <c r="C633" s="21">
        <v>0.055</v>
      </c>
      <c r="D633" s="21">
        <v>0.226</v>
      </c>
      <c r="E633" s="21">
        <v>0.055</v>
      </c>
      <c r="F633" s="22">
        <v>5.0</v>
      </c>
      <c r="G633" s="23"/>
      <c r="H633" s="24" t="s">
        <v>557</v>
      </c>
      <c r="I633" s="21" t="s">
        <v>558</v>
      </c>
      <c r="J633" s="24" t="s">
        <v>581</v>
      </c>
      <c r="K633" s="21" t="s">
        <v>582</v>
      </c>
      <c r="L633" s="25" t="s">
        <v>583</v>
      </c>
      <c r="M633" s="26" t="s">
        <v>28</v>
      </c>
      <c r="N633" s="24" t="s">
        <v>365</v>
      </c>
      <c r="O633" s="24" t="s">
        <v>536</v>
      </c>
      <c r="P633" s="27"/>
      <c r="Q633" s="27"/>
      <c r="R633" s="28" t="s">
        <v>584</v>
      </c>
      <c r="S633" s="8" t="s">
        <v>585</v>
      </c>
      <c r="T633" s="29" t="s">
        <v>566</v>
      </c>
      <c r="U633" s="24"/>
    </row>
    <row r="634" hidden="1">
      <c r="A634" s="30">
        <v>7.290001594568E12</v>
      </c>
      <c r="B634" s="20" t="s">
        <v>574</v>
      </c>
      <c r="C634" s="21">
        <v>0.065</v>
      </c>
      <c r="D634" s="21">
        <v>0.17</v>
      </c>
      <c r="E634" s="21">
        <v>0.06</v>
      </c>
      <c r="F634" s="22">
        <v>5.0</v>
      </c>
      <c r="G634" s="23"/>
      <c r="H634" s="24" t="s">
        <v>557</v>
      </c>
      <c r="I634" s="21" t="s">
        <v>558</v>
      </c>
      <c r="J634" s="24" t="s">
        <v>575</v>
      </c>
      <c r="K634" s="21" t="s">
        <v>576</v>
      </c>
      <c r="L634" s="25" t="s">
        <v>5260</v>
      </c>
      <c r="M634" s="26" t="s">
        <v>37</v>
      </c>
      <c r="N634" s="24" t="s">
        <v>365</v>
      </c>
      <c r="O634" s="24" t="s">
        <v>543</v>
      </c>
      <c r="P634" s="27"/>
      <c r="Q634" s="27"/>
      <c r="R634" s="31" t="s">
        <v>578</v>
      </c>
      <c r="S634" s="33" t="s">
        <v>579</v>
      </c>
      <c r="T634" s="29" t="e">
        <v>#N/A</v>
      </c>
      <c r="U634" s="24"/>
    </row>
    <row r="635" hidden="1">
      <c r="A635" s="30">
        <v>7.290110110352E12</v>
      </c>
      <c r="B635" s="20" t="s">
        <v>556</v>
      </c>
      <c r="C635" s="21">
        <v>0.06</v>
      </c>
      <c r="D635" s="21">
        <v>0.23</v>
      </c>
      <c r="E635" s="21">
        <v>0.06</v>
      </c>
      <c r="F635" s="22">
        <v>5.0</v>
      </c>
      <c r="G635" s="23"/>
      <c r="H635" s="24" t="s">
        <v>557</v>
      </c>
      <c r="I635" s="21" t="s">
        <v>558</v>
      </c>
      <c r="J635" s="24" t="s">
        <v>559</v>
      </c>
      <c r="K635" s="21" t="s">
        <v>560</v>
      </c>
      <c r="L635" s="25" t="s">
        <v>561</v>
      </c>
      <c r="M635" s="26" t="s">
        <v>28</v>
      </c>
      <c r="N635" s="24" t="s">
        <v>562</v>
      </c>
      <c r="O635" s="24" t="s">
        <v>563</v>
      </c>
      <c r="P635" s="27"/>
      <c r="Q635" s="27"/>
      <c r="R635" s="31" t="s">
        <v>564</v>
      </c>
      <c r="S635" s="8" t="s">
        <v>565</v>
      </c>
      <c r="T635" s="29" t="s">
        <v>566</v>
      </c>
      <c r="U635" s="24"/>
    </row>
    <row r="636" hidden="1">
      <c r="A636" s="30">
        <v>7.290000074245E12</v>
      </c>
      <c r="B636" s="20" t="s">
        <v>5261</v>
      </c>
      <c r="C636" s="21">
        <v>0.2</v>
      </c>
      <c r="D636" s="21">
        <v>0.078</v>
      </c>
      <c r="E636" s="21">
        <v>0.075</v>
      </c>
      <c r="F636" s="22">
        <v>4.0</v>
      </c>
      <c r="G636" s="23"/>
      <c r="H636" s="24" t="s">
        <v>948</v>
      </c>
      <c r="I636" s="21" t="s">
        <v>5262</v>
      </c>
      <c r="J636" s="24" t="s">
        <v>965</v>
      </c>
      <c r="K636" s="21" t="s">
        <v>966</v>
      </c>
      <c r="L636" s="25" t="s">
        <v>967</v>
      </c>
      <c r="M636" s="26" t="s">
        <v>37</v>
      </c>
      <c r="N636" s="24" t="s">
        <v>954</v>
      </c>
      <c r="O636" s="24" t="s">
        <v>948</v>
      </c>
      <c r="P636" s="27"/>
      <c r="Q636" s="27"/>
      <c r="R636" s="28" t="s">
        <v>968</v>
      </c>
      <c r="S636" s="8" t="s">
        <v>969</v>
      </c>
      <c r="T636" s="29" t="e">
        <v>#N/A</v>
      </c>
      <c r="U636" s="24"/>
    </row>
    <row r="637" hidden="1">
      <c r="A637" s="30">
        <v>7.290000074375E12</v>
      </c>
      <c r="B637" s="20" t="s">
        <v>5263</v>
      </c>
      <c r="C637" s="21">
        <v>0.2</v>
      </c>
      <c r="D637" s="21">
        <v>0.06699999</v>
      </c>
      <c r="E637" s="21">
        <v>0.045</v>
      </c>
      <c r="F637" s="22">
        <v>7.0</v>
      </c>
      <c r="G637" s="23"/>
      <c r="H637" s="24" t="s">
        <v>948</v>
      </c>
      <c r="I637" s="21" t="s">
        <v>5262</v>
      </c>
      <c r="J637" s="24" t="s">
        <v>959</v>
      </c>
      <c r="K637" s="21" t="s">
        <v>960</v>
      </c>
      <c r="L637" s="25" t="s">
        <v>961</v>
      </c>
      <c r="M637" s="26" t="s">
        <v>37</v>
      </c>
      <c r="N637" s="24" t="s">
        <v>954</v>
      </c>
      <c r="O637" s="24" t="s">
        <v>948</v>
      </c>
      <c r="P637" s="27"/>
      <c r="Q637" s="27"/>
      <c r="R637" s="28" t="s">
        <v>962</v>
      </c>
      <c r="S637" s="8" t="s">
        <v>963</v>
      </c>
      <c r="T637" s="29" t="e">
        <v>#N/A</v>
      </c>
      <c r="U637" s="24"/>
    </row>
    <row r="638" hidden="1">
      <c r="A638" s="30">
        <v>7.290000074252E12</v>
      </c>
      <c r="B638" s="20" t="s">
        <v>5264</v>
      </c>
      <c r="C638" s="21">
        <v>0.2</v>
      </c>
      <c r="D638" s="21">
        <v>0.075</v>
      </c>
      <c r="E638" s="21">
        <v>0.055</v>
      </c>
      <c r="F638" s="22">
        <v>5.0</v>
      </c>
      <c r="G638" s="23"/>
      <c r="H638" s="24" t="s">
        <v>948</v>
      </c>
      <c r="I638" s="21" t="s">
        <v>5262</v>
      </c>
      <c r="J638" s="24" t="s">
        <v>951</v>
      </c>
      <c r="K638" s="21" t="s">
        <v>952</v>
      </c>
      <c r="L638" s="25" t="s">
        <v>953</v>
      </c>
      <c r="M638" s="26" t="s">
        <v>37</v>
      </c>
      <c r="N638" s="24" t="s">
        <v>954</v>
      </c>
      <c r="O638" s="24" t="s">
        <v>948</v>
      </c>
      <c r="P638" s="27"/>
      <c r="Q638" s="27"/>
      <c r="R638" s="31" t="s">
        <v>955</v>
      </c>
      <c r="S638" s="33" t="s">
        <v>956</v>
      </c>
      <c r="T638" s="29" t="e">
        <v>#N/A</v>
      </c>
      <c r="U638" s="24"/>
    </row>
    <row r="639" hidden="1">
      <c r="A639" s="30">
        <v>7.290107937597E12</v>
      </c>
      <c r="B639" s="20" t="s">
        <v>3966</v>
      </c>
      <c r="C639" s="21">
        <v>0.16</v>
      </c>
      <c r="D639" s="21">
        <v>0.05</v>
      </c>
      <c r="E639" s="21">
        <v>0.03</v>
      </c>
      <c r="F639" s="22">
        <v>10.0</v>
      </c>
      <c r="G639" s="23"/>
      <c r="H639" s="24" t="s">
        <v>3952</v>
      </c>
      <c r="I639" s="21" t="s">
        <v>3953</v>
      </c>
      <c r="J639" s="24" t="s">
        <v>3967</v>
      </c>
      <c r="K639" s="21" t="s">
        <v>3968</v>
      </c>
      <c r="L639" s="25" t="s">
        <v>3969</v>
      </c>
      <c r="M639" s="26" t="s">
        <v>28</v>
      </c>
      <c r="N639" s="24" t="s">
        <v>501</v>
      </c>
      <c r="O639" s="24" t="s">
        <v>502</v>
      </c>
      <c r="P639" s="27"/>
      <c r="Q639" s="27"/>
      <c r="R639" s="31" t="s">
        <v>3970</v>
      </c>
      <c r="S639" s="33" t="s">
        <v>3971</v>
      </c>
      <c r="T639" s="29" t="s">
        <v>3972</v>
      </c>
      <c r="U639" s="24"/>
    </row>
    <row r="640" hidden="1">
      <c r="A640" s="30">
        <v>7.290106520066E12</v>
      </c>
      <c r="B640" s="20" t="s">
        <v>3991</v>
      </c>
      <c r="C640" s="21">
        <v>0.26</v>
      </c>
      <c r="D640" s="21">
        <v>0.09</v>
      </c>
      <c r="E640" s="21">
        <v>0.03</v>
      </c>
      <c r="F640" s="22">
        <v>10.0</v>
      </c>
      <c r="G640" s="23"/>
      <c r="H640" s="24" t="s">
        <v>3952</v>
      </c>
      <c r="I640" s="21" t="s">
        <v>3953</v>
      </c>
      <c r="J640" s="24" t="s">
        <v>3992</v>
      </c>
      <c r="K640" s="21" t="s">
        <v>3993</v>
      </c>
      <c r="L640" s="25" t="s">
        <v>3994</v>
      </c>
      <c r="M640" s="26" t="s">
        <v>28</v>
      </c>
      <c r="N640" s="24" t="s">
        <v>2364</v>
      </c>
      <c r="O640" s="24" t="s">
        <v>2365</v>
      </c>
      <c r="P640" s="27"/>
      <c r="Q640" s="27"/>
      <c r="R640" s="28" t="s">
        <v>3995</v>
      </c>
      <c r="S640" s="8" t="s">
        <v>3996</v>
      </c>
      <c r="T640" s="29" t="s">
        <v>3959</v>
      </c>
      <c r="U640" s="24"/>
    </row>
    <row r="641" hidden="1">
      <c r="A641" s="30">
        <v>7.290107944366E12</v>
      </c>
      <c r="B641" s="20" t="s">
        <v>3997</v>
      </c>
      <c r="C641" s="21">
        <v>0.26</v>
      </c>
      <c r="D641" s="21">
        <v>0.09</v>
      </c>
      <c r="E641" s="21">
        <v>0.03</v>
      </c>
      <c r="F641" s="22">
        <v>10.0</v>
      </c>
      <c r="G641" s="23"/>
      <c r="H641" s="24" t="s">
        <v>3952</v>
      </c>
      <c r="I641" s="21" t="s">
        <v>3953</v>
      </c>
      <c r="J641" s="24" t="s">
        <v>3998</v>
      </c>
      <c r="K641" s="21" t="s">
        <v>3999</v>
      </c>
      <c r="L641" s="25" t="s">
        <v>4000</v>
      </c>
      <c r="M641" s="26" t="s">
        <v>28</v>
      </c>
      <c r="N641" s="24" t="s">
        <v>2364</v>
      </c>
      <c r="O641" s="24" t="s">
        <v>2365</v>
      </c>
      <c r="P641" s="27"/>
      <c r="Q641" s="27"/>
      <c r="R641" s="28" t="s">
        <v>4001</v>
      </c>
      <c r="S641" s="8" t="s">
        <v>4002</v>
      </c>
      <c r="T641" s="29" t="s">
        <v>3959</v>
      </c>
      <c r="U641" s="24"/>
    </row>
    <row r="642" hidden="1">
      <c r="A642" s="30">
        <v>7.290106669406E12</v>
      </c>
      <c r="B642" s="20" t="s">
        <v>3960</v>
      </c>
      <c r="C642" s="21">
        <v>0.275</v>
      </c>
      <c r="D642" s="21">
        <v>0.105</v>
      </c>
      <c r="E642" s="21">
        <v>0.03</v>
      </c>
      <c r="F642" s="22">
        <v>10.0</v>
      </c>
      <c r="G642" s="23"/>
      <c r="H642" s="24" t="s">
        <v>3952</v>
      </c>
      <c r="I642" s="21" t="s">
        <v>3953</v>
      </c>
      <c r="J642" s="24" t="s">
        <v>3961</v>
      </c>
      <c r="K642" s="21" t="s">
        <v>3962</v>
      </c>
      <c r="L642" s="25" t="s">
        <v>3963</v>
      </c>
      <c r="M642" s="26" t="s">
        <v>28</v>
      </c>
      <c r="N642" s="24" t="s">
        <v>2364</v>
      </c>
      <c r="O642" s="24" t="s">
        <v>2365</v>
      </c>
      <c r="P642" s="27"/>
      <c r="Q642" s="27"/>
      <c r="R642" s="28" t="s">
        <v>3964</v>
      </c>
      <c r="S642" s="8" t="s">
        <v>3965</v>
      </c>
      <c r="T642" s="29" t="s">
        <v>3959</v>
      </c>
      <c r="U642" s="24"/>
    </row>
    <row r="643" hidden="1">
      <c r="A643" s="30">
        <v>7.290107958523E12</v>
      </c>
      <c r="B643" s="20" t="s">
        <v>3951</v>
      </c>
      <c r="C643" s="21">
        <v>0.275</v>
      </c>
      <c r="D643" s="21">
        <v>0.105</v>
      </c>
      <c r="E643" s="21">
        <v>0.03</v>
      </c>
      <c r="F643" s="22">
        <v>10.0</v>
      </c>
      <c r="G643" s="23"/>
      <c r="H643" s="24" t="s">
        <v>3952</v>
      </c>
      <c r="I643" s="21" t="s">
        <v>3953</v>
      </c>
      <c r="J643" s="24" t="s">
        <v>3954</v>
      </c>
      <c r="K643" s="21" t="s">
        <v>3955</v>
      </c>
      <c r="L643" s="25" t="s">
        <v>3956</v>
      </c>
      <c r="M643" s="26" t="s">
        <v>28</v>
      </c>
      <c r="N643" s="24" t="s">
        <v>2364</v>
      </c>
      <c r="O643" s="24" t="s">
        <v>2365</v>
      </c>
      <c r="P643" s="27"/>
      <c r="Q643" s="27"/>
      <c r="R643" s="28" t="s">
        <v>3957</v>
      </c>
      <c r="S643" s="8" t="s">
        <v>3958</v>
      </c>
      <c r="T643" s="29" t="s">
        <v>3959</v>
      </c>
      <c r="U643" s="24"/>
    </row>
    <row r="644" hidden="1">
      <c r="A644" s="30">
        <v>7.290104061219E12</v>
      </c>
      <c r="B644" s="20" t="s">
        <v>3985</v>
      </c>
      <c r="C644" s="21">
        <v>0.26</v>
      </c>
      <c r="D644" s="21">
        <v>0.09</v>
      </c>
      <c r="E644" s="21">
        <v>0.03</v>
      </c>
      <c r="F644" s="22">
        <v>10.0</v>
      </c>
      <c r="G644" s="23"/>
      <c r="H644" s="24" t="s">
        <v>3952</v>
      </c>
      <c r="I644" s="21" t="s">
        <v>3953</v>
      </c>
      <c r="J644" s="24" t="s">
        <v>3986</v>
      </c>
      <c r="K644" s="21" t="s">
        <v>3987</v>
      </c>
      <c r="L644" s="25" t="s">
        <v>3988</v>
      </c>
      <c r="M644" s="26" t="s">
        <v>28</v>
      </c>
      <c r="N644" s="24" t="s">
        <v>2364</v>
      </c>
      <c r="O644" s="24" t="s">
        <v>2365</v>
      </c>
      <c r="P644" s="27"/>
      <c r="Q644" s="27"/>
      <c r="R644" s="28" t="s">
        <v>3989</v>
      </c>
      <c r="S644" s="8" t="s">
        <v>3990</v>
      </c>
      <c r="T644" s="29" t="s">
        <v>3959</v>
      </c>
      <c r="U644" s="24"/>
    </row>
    <row r="645" hidden="1">
      <c r="A645" s="30">
        <v>7.290112332707E12</v>
      </c>
      <c r="B645" s="20" t="s">
        <v>3973</v>
      </c>
      <c r="C645" s="21">
        <v>0.11</v>
      </c>
      <c r="D645" s="21">
        <v>0.23</v>
      </c>
      <c r="E645" s="21">
        <v>0.035</v>
      </c>
      <c r="F645" s="22">
        <v>9.0</v>
      </c>
      <c r="G645" s="23"/>
      <c r="H645" s="24" t="s">
        <v>3952</v>
      </c>
      <c r="I645" s="21" t="s">
        <v>3953</v>
      </c>
      <c r="J645" s="24" t="s">
        <v>3974</v>
      </c>
      <c r="K645" s="21" t="s">
        <v>3975</v>
      </c>
      <c r="L645" s="25" t="s">
        <v>3976</v>
      </c>
      <c r="M645" s="26" t="s">
        <v>28</v>
      </c>
      <c r="N645" s="24" t="s">
        <v>2364</v>
      </c>
      <c r="O645" s="24" t="s">
        <v>2365</v>
      </c>
      <c r="P645" s="27"/>
      <c r="Q645" s="27"/>
      <c r="R645" s="28" t="s">
        <v>3977</v>
      </c>
      <c r="S645" s="33" t="s">
        <v>3978</v>
      </c>
      <c r="T645" s="29" t="s">
        <v>3959</v>
      </c>
      <c r="U645" s="24"/>
    </row>
    <row r="646" hidden="1">
      <c r="A646" s="30">
        <v>7.290112331946E12</v>
      </c>
      <c r="B646" s="20" t="s">
        <v>3979</v>
      </c>
      <c r="C646" s="21">
        <v>0.26</v>
      </c>
      <c r="D646" s="21">
        <v>0.09</v>
      </c>
      <c r="E646" s="21">
        <v>0.03</v>
      </c>
      <c r="F646" s="22">
        <v>10.0</v>
      </c>
      <c r="G646" s="23"/>
      <c r="H646" s="24" t="s">
        <v>3952</v>
      </c>
      <c r="I646" s="21" t="s">
        <v>3953</v>
      </c>
      <c r="J646" s="24" t="s">
        <v>3980</v>
      </c>
      <c r="K646" s="21" t="s">
        <v>3981</v>
      </c>
      <c r="L646" s="25" t="s">
        <v>3982</v>
      </c>
      <c r="M646" s="26" t="s">
        <v>28</v>
      </c>
      <c r="N646" s="24" t="s">
        <v>2364</v>
      </c>
      <c r="O646" s="24" t="s">
        <v>2365</v>
      </c>
      <c r="P646" s="27"/>
      <c r="Q646" s="27"/>
      <c r="R646" s="28" t="s">
        <v>3983</v>
      </c>
      <c r="S646" s="33" t="s">
        <v>3984</v>
      </c>
      <c r="T646" s="29" t="s">
        <v>3959</v>
      </c>
      <c r="U646" s="24"/>
    </row>
    <row r="647" hidden="1">
      <c r="A647" s="30">
        <v>9.01628E7</v>
      </c>
      <c r="B647" s="20" t="s">
        <v>3944</v>
      </c>
      <c r="C647" s="21">
        <v>0.053</v>
      </c>
      <c r="D647" s="21">
        <v>0.134</v>
      </c>
      <c r="E647" s="21">
        <v>0.053</v>
      </c>
      <c r="F647" s="22">
        <v>6.0</v>
      </c>
      <c r="G647" s="23"/>
      <c r="H647" s="24" t="s">
        <v>3938</v>
      </c>
      <c r="I647" s="21" t="s">
        <v>3939</v>
      </c>
      <c r="J647" s="24" t="s">
        <v>3945</v>
      </c>
      <c r="K647" s="21" t="s">
        <v>3946</v>
      </c>
      <c r="L647" s="25" t="s">
        <v>3947</v>
      </c>
      <c r="M647" s="26" t="s">
        <v>28</v>
      </c>
      <c r="N647" s="24" t="s">
        <v>340</v>
      </c>
      <c r="O647" s="24" t="s">
        <v>449</v>
      </c>
      <c r="P647" s="27"/>
      <c r="Q647" s="27"/>
      <c r="R647" s="28" t="s">
        <v>3948</v>
      </c>
      <c r="S647" s="8" t="s">
        <v>3949</v>
      </c>
      <c r="T647" s="29" t="s">
        <v>3950</v>
      </c>
      <c r="U647" s="24"/>
    </row>
    <row r="648" hidden="1">
      <c r="A648" s="30">
        <v>9.0162602E7</v>
      </c>
      <c r="B648" s="20" t="s">
        <v>3937</v>
      </c>
      <c r="C648" s="21">
        <v>0.053</v>
      </c>
      <c r="D648" s="21">
        <v>0.134</v>
      </c>
      <c r="E648" s="21">
        <v>0.053</v>
      </c>
      <c r="F648" s="22">
        <v>6.0</v>
      </c>
      <c r="G648" s="23"/>
      <c r="H648" s="24" t="s">
        <v>3938</v>
      </c>
      <c r="I648" s="21" t="s">
        <v>3939</v>
      </c>
      <c r="J648" s="24" t="s">
        <v>3940</v>
      </c>
      <c r="K648" s="21" t="s">
        <v>3941</v>
      </c>
      <c r="L648" s="25" t="s">
        <v>3942</v>
      </c>
      <c r="M648" s="26" t="s">
        <v>3943</v>
      </c>
      <c r="N648" s="24" t="s">
        <v>340</v>
      </c>
      <c r="O648" s="24" t="s">
        <v>449</v>
      </c>
      <c r="P648" s="27"/>
      <c r="Q648" s="27"/>
      <c r="R648" s="31"/>
      <c r="S648" s="33"/>
      <c r="T648" s="29"/>
      <c r="U648" s="24"/>
    </row>
    <row r="649" hidden="1">
      <c r="A649" s="30">
        <v>44248.0</v>
      </c>
      <c r="B649" s="20" t="s">
        <v>4003</v>
      </c>
      <c r="C649" s="21">
        <v>0.073</v>
      </c>
      <c r="D649" s="21">
        <v>0.14</v>
      </c>
      <c r="E649" s="21">
        <v>0.073</v>
      </c>
      <c r="F649" s="22">
        <v>4.0</v>
      </c>
      <c r="G649" s="23"/>
      <c r="H649" s="24" t="s">
        <v>4004</v>
      </c>
      <c r="I649" s="21" t="s">
        <v>4005</v>
      </c>
      <c r="J649" s="24" t="s">
        <v>4006</v>
      </c>
      <c r="K649" s="21" t="s">
        <v>4007</v>
      </c>
      <c r="L649" s="25" t="s">
        <v>4008</v>
      </c>
      <c r="M649" s="26" t="s">
        <v>28</v>
      </c>
      <c r="N649" s="24" t="s">
        <v>975</v>
      </c>
      <c r="O649" s="24" t="s">
        <v>4009</v>
      </c>
      <c r="P649" s="27"/>
      <c r="Q649" s="27"/>
      <c r="R649" s="31" t="s">
        <v>4010</v>
      </c>
      <c r="S649" s="33" t="s">
        <v>4011</v>
      </c>
      <c r="T649" s="29" t="s">
        <v>4005</v>
      </c>
      <c r="U649" s="24"/>
    </row>
    <row r="650" hidden="1">
      <c r="A650" s="30">
        <v>7.290013702418E12</v>
      </c>
      <c r="B650" s="20" t="s">
        <v>4201</v>
      </c>
      <c r="C650" s="21">
        <v>0.065</v>
      </c>
      <c r="D650" s="21">
        <v>0.221</v>
      </c>
      <c r="E650" s="21">
        <v>0.065</v>
      </c>
      <c r="F650" s="22">
        <v>5.0</v>
      </c>
      <c r="G650" s="23"/>
      <c r="H650" s="24" t="s">
        <v>4107</v>
      </c>
      <c r="I650" s="21" t="s">
        <v>4108</v>
      </c>
      <c r="J650" s="24" t="s">
        <v>4202</v>
      </c>
      <c r="K650" s="21" t="s">
        <v>4203</v>
      </c>
      <c r="L650" s="25" t="s">
        <v>4204</v>
      </c>
      <c r="M650" s="26" t="s">
        <v>28</v>
      </c>
      <c r="N650" s="24" t="s">
        <v>4136</v>
      </c>
      <c r="O650" s="24" t="s">
        <v>4137</v>
      </c>
      <c r="P650" s="27"/>
      <c r="Q650" s="27"/>
      <c r="R650" s="28" t="s">
        <v>4205</v>
      </c>
      <c r="S650" s="8" t="s">
        <v>4206</v>
      </c>
      <c r="T650" s="29" t="s">
        <v>4108</v>
      </c>
      <c r="U650" s="24"/>
    </row>
    <row r="651" hidden="1">
      <c r="A651" s="30">
        <v>7.290013702425E12</v>
      </c>
      <c r="B651" s="20" t="s">
        <v>4132</v>
      </c>
      <c r="C651" s="21">
        <v>0.065</v>
      </c>
      <c r="D651" s="21">
        <v>0.221</v>
      </c>
      <c r="E651" s="21">
        <v>0.065</v>
      </c>
      <c r="F651" s="22">
        <v>5.0</v>
      </c>
      <c r="G651" s="23"/>
      <c r="H651" s="24" t="s">
        <v>4107</v>
      </c>
      <c r="I651" s="21" t="s">
        <v>4108</v>
      </c>
      <c r="J651" s="24" t="s">
        <v>4133</v>
      </c>
      <c r="K651" s="21" t="s">
        <v>4134</v>
      </c>
      <c r="L651" s="25" t="s">
        <v>4135</v>
      </c>
      <c r="M651" s="26" t="s">
        <v>28</v>
      </c>
      <c r="N651" s="24" t="s">
        <v>4136</v>
      </c>
      <c r="O651" s="24" t="s">
        <v>4137</v>
      </c>
      <c r="P651" s="27"/>
      <c r="Q651" s="27"/>
      <c r="R651" s="28" t="s">
        <v>4138</v>
      </c>
      <c r="S651" s="8" t="s">
        <v>4139</v>
      </c>
      <c r="T651" s="29" t="s">
        <v>4108</v>
      </c>
      <c r="U651" s="24"/>
    </row>
    <row r="652" hidden="1">
      <c r="A652" s="30">
        <v>7.290011051396E12</v>
      </c>
      <c r="B652" s="20" t="s">
        <v>4195</v>
      </c>
      <c r="C652" s="21">
        <v>0.09</v>
      </c>
      <c r="D652" s="21">
        <v>0.33</v>
      </c>
      <c r="E652" s="21">
        <v>0.09</v>
      </c>
      <c r="F652" s="22">
        <v>3.0</v>
      </c>
      <c r="G652" s="23"/>
      <c r="H652" s="24" t="s">
        <v>4107</v>
      </c>
      <c r="I652" s="21" t="s">
        <v>4108</v>
      </c>
      <c r="J652" s="24" t="s">
        <v>4196</v>
      </c>
      <c r="K652" s="21" t="s">
        <v>4197</v>
      </c>
      <c r="L652" s="25" t="s">
        <v>4198</v>
      </c>
      <c r="M652" s="26" t="s">
        <v>28</v>
      </c>
      <c r="N652" s="24" t="s">
        <v>4136</v>
      </c>
      <c r="O652" s="24" t="s">
        <v>4192</v>
      </c>
      <c r="P652" s="27"/>
      <c r="Q652" s="27"/>
      <c r="R652" s="28" t="s">
        <v>4199</v>
      </c>
      <c r="S652" s="8" t="s">
        <v>4200</v>
      </c>
      <c r="T652" s="29" t="s">
        <v>4108</v>
      </c>
      <c r="U652" s="24"/>
    </row>
    <row r="653" hidden="1">
      <c r="A653" s="30">
        <v>7.290011051389E12</v>
      </c>
      <c r="B653" s="20" t="s">
        <v>4188</v>
      </c>
      <c r="C653" s="21">
        <v>0.09</v>
      </c>
      <c r="D653" s="21">
        <v>0.33</v>
      </c>
      <c r="E653" s="21">
        <v>0.09</v>
      </c>
      <c r="F653" s="22">
        <v>3.0</v>
      </c>
      <c r="G653" s="23"/>
      <c r="H653" s="24" t="s">
        <v>4107</v>
      </c>
      <c r="I653" s="21" t="s">
        <v>4108</v>
      </c>
      <c r="J653" s="24" t="s">
        <v>4189</v>
      </c>
      <c r="K653" s="21" t="s">
        <v>4190</v>
      </c>
      <c r="L653" s="25" t="s">
        <v>4191</v>
      </c>
      <c r="M653" s="26" t="s">
        <v>28</v>
      </c>
      <c r="N653" s="24" t="s">
        <v>4136</v>
      </c>
      <c r="O653" s="24" t="s">
        <v>4192</v>
      </c>
      <c r="P653" s="27"/>
      <c r="Q653" s="27"/>
      <c r="R653" s="28" t="s">
        <v>4193</v>
      </c>
      <c r="S653" s="8" t="s">
        <v>4194</v>
      </c>
      <c r="T653" s="29" t="s">
        <v>4108</v>
      </c>
      <c r="U653" s="24"/>
    </row>
    <row r="654" hidden="1">
      <c r="A654" s="30">
        <v>7.290012404238E12</v>
      </c>
      <c r="B654" s="20" t="s">
        <v>4180</v>
      </c>
      <c r="C654" s="21">
        <v>0.09</v>
      </c>
      <c r="D654" s="21">
        <v>0.329</v>
      </c>
      <c r="E654" s="21">
        <v>0.09</v>
      </c>
      <c r="F654" s="22">
        <v>3.0</v>
      </c>
      <c r="G654" s="23"/>
      <c r="H654" s="24" t="s">
        <v>4107</v>
      </c>
      <c r="I654" s="21" t="s">
        <v>4108</v>
      </c>
      <c r="J654" s="24" t="s">
        <v>4181</v>
      </c>
      <c r="K654" s="21" t="s">
        <v>4182</v>
      </c>
      <c r="L654" s="25" t="s">
        <v>4183</v>
      </c>
      <c r="M654" s="26" t="s">
        <v>28</v>
      </c>
      <c r="N654" s="24" t="s">
        <v>4184</v>
      </c>
      <c r="O654" s="24" t="s">
        <v>4185</v>
      </c>
      <c r="P654" s="27"/>
      <c r="Q654" s="27"/>
      <c r="R654" s="28" t="s">
        <v>4186</v>
      </c>
      <c r="S654" s="8" t="s">
        <v>4187</v>
      </c>
      <c r="T654" s="29" t="s">
        <v>4108</v>
      </c>
      <c r="U654" s="24"/>
    </row>
    <row r="655" hidden="1">
      <c r="A655" s="30">
        <v>7.290011051358E12</v>
      </c>
      <c r="B655" s="20" t="s">
        <v>4225</v>
      </c>
      <c r="C655" s="21">
        <v>0.053</v>
      </c>
      <c r="D655" s="21">
        <v>0.196</v>
      </c>
      <c r="E655" s="21">
        <v>0.053</v>
      </c>
      <c r="F655" s="22">
        <v>6.0</v>
      </c>
      <c r="G655" s="23"/>
      <c r="H655" s="24" t="s">
        <v>4107</v>
      </c>
      <c r="I655" s="21" t="s">
        <v>4108</v>
      </c>
      <c r="J655" s="24" t="s">
        <v>4226</v>
      </c>
      <c r="K655" s="21" t="s">
        <v>4227</v>
      </c>
      <c r="L655" s="25" t="s">
        <v>4228</v>
      </c>
      <c r="M655" s="26" t="s">
        <v>28</v>
      </c>
      <c r="N655" s="24" t="s">
        <v>2158</v>
      </c>
      <c r="O655" s="24" t="s">
        <v>2166</v>
      </c>
      <c r="P655" s="27"/>
      <c r="Q655" s="27"/>
      <c r="R655" s="28" t="s">
        <v>4229</v>
      </c>
      <c r="S655" s="8" t="s">
        <v>4230</v>
      </c>
      <c r="T655" s="29" t="s">
        <v>4108</v>
      </c>
      <c r="U655" s="24"/>
    </row>
    <row r="656" hidden="1">
      <c r="A656" s="30">
        <v>7.290014791626E12</v>
      </c>
      <c r="B656" s="20" t="s">
        <v>4231</v>
      </c>
      <c r="C656" s="21">
        <v>0.053</v>
      </c>
      <c r="D656" s="21">
        <v>0.196</v>
      </c>
      <c r="E656" s="21">
        <v>0.053</v>
      </c>
      <c r="F656" s="22">
        <v>6.0</v>
      </c>
      <c r="G656" s="23"/>
      <c r="H656" s="24" t="s">
        <v>4107</v>
      </c>
      <c r="I656" s="21" t="s">
        <v>4108</v>
      </c>
      <c r="J656" s="24" t="s">
        <v>4232</v>
      </c>
      <c r="K656" s="21" t="s">
        <v>4233</v>
      </c>
      <c r="L656" s="25" t="s">
        <v>4234</v>
      </c>
      <c r="M656" s="26" t="s">
        <v>28</v>
      </c>
      <c r="N656" s="24" t="s">
        <v>2158</v>
      </c>
      <c r="O656" s="24" t="s">
        <v>2166</v>
      </c>
      <c r="P656" s="27"/>
      <c r="Q656" s="27"/>
      <c r="R656" s="31" t="s">
        <v>4235</v>
      </c>
      <c r="S656" s="8" t="s">
        <v>4236</v>
      </c>
      <c r="T656" s="29" t="s">
        <v>4108</v>
      </c>
      <c r="U656" s="24"/>
    </row>
    <row r="657" hidden="1">
      <c r="A657" s="30">
        <v>7.290008757034E12</v>
      </c>
      <c r="B657" s="20" t="s">
        <v>4243</v>
      </c>
      <c r="C657" s="21">
        <v>0.053</v>
      </c>
      <c r="D657" s="21">
        <v>0.196</v>
      </c>
      <c r="E657" s="21">
        <v>0.053</v>
      </c>
      <c r="F657" s="22">
        <v>6.0</v>
      </c>
      <c r="G657" s="23"/>
      <c r="H657" s="24" t="s">
        <v>4107</v>
      </c>
      <c r="I657" s="21" t="s">
        <v>4108</v>
      </c>
      <c r="J657" s="24" t="s">
        <v>4244</v>
      </c>
      <c r="K657" s="21" t="s">
        <v>4245</v>
      </c>
      <c r="L657" s="25" t="s">
        <v>4246</v>
      </c>
      <c r="M657" s="26" t="s">
        <v>37</v>
      </c>
      <c r="N657" s="24" t="s">
        <v>2158</v>
      </c>
      <c r="O657" s="24" t="s">
        <v>2166</v>
      </c>
      <c r="P657" s="27"/>
      <c r="Q657" s="27"/>
      <c r="R657" s="31" t="s">
        <v>4247</v>
      </c>
      <c r="S657" s="8" t="s">
        <v>4248</v>
      </c>
      <c r="T657" s="29" t="e">
        <v>#N/A</v>
      </c>
      <c r="U657" s="24"/>
    </row>
    <row r="658" hidden="1">
      <c r="A658" s="30">
        <v>7.290000285849E12</v>
      </c>
      <c r="B658" s="20" t="s">
        <v>4237</v>
      </c>
      <c r="C658" s="21">
        <v>0.09</v>
      </c>
      <c r="D658" s="21">
        <v>0.329</v>
      </c>
      <c r="E658" s="21">
        <v>0.09</v>
      </c>
      <c r="F658" s="22">
        <v>3.0</v>
      </c>
      <c r="G658" s="23"/>
      <c r="H658" s="24" t="s">
        <v>4107</v>
      </c>
      <c r="I658" s="21" t="s">
        <v>4108</v>
      </c>
      <c r="J658" s="24" t="s">
        <v>4238</v>
      </c>
      <c r="K658" s="21" t="s">
        <v>4239</v>
      </c>
      <c r="L658" s="25" t="s">
        <v>4240</v>
      </c>
      <c r="M658" s="26" t="s">
        <v>37</v>
      </c>
      <c r="N658" s="24" t="s">
        <v>2158</v>
      </c>
      <c r="O658" s="24" t="s">
        <v>2159</v>
      </c>
      <c r="P658" s="27"/>
      <c r="Q658" s="27"/>
      <c r="R658" s="31" t="s">
        <v>4241</v>
      </c>
      <c r="S658" s="33" t="s">
        <v>4242</v>
      </c>
      <c r="T658" s="29" t="e">
        <v>#N/A</v>
      </c>
      <c r="U658" s="24"/>
    </row>
    <row r="659" hidden="1">
      <c r="A659" s="30">
        <v>7.290017888729E12</v>
      </c>
      <c r="B659" s="20" t="s">
        <v>4219</v>
      </c>
      <c r="C659" s="21">
        <v>0.085</v>
      </c>
      <c r="D659" s="21">
        <v>0.297</v>
      </c>
      <c r="E659" s="21">
        <v>0.085</v>
      </c>
      <c r="F659" s="22">
        <v>4.0</v>
      </c>
      <c r="G659" s="23"/>
      <c r="H659" s="24" t="s">
        <v>4107</v>
      </c>
      <c r="I659" s="21" t="s">
        <v>4108</v>
      </c>
      <c r="J659" s="24" t="s">
        <v>4220</v>
      </c>
      <c r="K659" s="21" t="s">
        <v>4221</v>
      </c>
      <c r="L659" s="25" t="s">
        <v>4222</v>
      </c>
      <c r="M659" s="26" t="s">
        <v>28</v>
      </c>
      <c r="N659" s="24" t="s">
        <v>2158</v>
      </c>
      <c r="O659" s="24" t="s">
        <v>2159</v>
      </c>
      <c r="P659" s="27"/>
      <c r="Q659" s="27"/>
      <c r="R659" s="31" t="s">
        <v>4223</v>
      </c>
      <c r="S659" s="8" t="s">
        <v>4224</v>
      </c>
      <c r="T659" s="29" t="s">
        <v>4108</v>
      </c>
      <c r="U659" s="24"/>
    </row>
    <row r="660" hidden="1">
      <c r="A660" s="30">
        <v>7.290017888842E12</v>
      </c>
      <c r="B660" s="20" t="s">
        <v>4213</v>
      </c>
      <c r="C660" s="21">
        <v>0.058</v>
      </c>
      <c r="D660" s="21">
        <v>0.145</v>
      </c>
      <c r="E660" s="21">
        <v>0.058</v>
      </c>
      <c r="F660" s="22">
        <v>5.0</v>
      </c>
      <c r="G660" s="23"/>
      <c r="H660" s="24" t="s">
        <v>4107</v>
      </c>
      <c r="I660" s="21" t="s">
        <v>4108</v>
      </c>
      <c r="J660" s="24" t="s">
        <v>4214</v>
      </c>
      <c r="K660" s="21" t="s">
        <v>4215</v>
      </c>
      <c r="L660" s="25" t="s">
        <v>4216</v>
      </c>
      <c r="M660" s="26" t="s">
        <v>28</v>
      </c>
      <c r="N660" s="24" t="s">
        <v>1351</v>
      </c>
      <c r="O660" s="24" t="s">
        <v>1359</v>
      </c>
      <c r="P660" s="27"/>
      <c r="Q660" s="27"/>
      <c r="R660" s="28" t="s">
        <v>4217</v>
      </c>
      <c r="S660" s="8" t="s">
        <v>4218</v>
      </c>
      <c r="T660" s="29" t="s">
        <v>4108</v>
      </c>
      <c r="U660" s="24"/>
    </row>
    <row r="661" hidden="1">
      <c r="A661" s="30">
        <v>7.290017888866E12</v>
      </c>
      <c r="B661" s="20" t="s">
        <v>4106</v>
      </c>
      <c r="C661" s="21">
        <v>0.058</v>
      </c>
      <c r="D661" s="21">
        <v>0.145</v>
      </c>
      <c r="E661" s="21">
        <v>0.058</v>
      </c>
      <c r="F661" s="22">
        <v>5.0</v>
      </c>
      <c r="G661" s="23"/>
      <c r="H661" s="24" t="s">
        <v>4107</v>
      </c>
      <c r="I661" s="21" t="s">
        <v>4108</v>
      </c>
      <c r="J661" s="24" t="s">
        <v>4109</v>
      </c>
      <c r="K661" s="21" t="s">
        <v>4110</v>
      </c>
      <c r="L661" s="25" t="s">
        <v>4111</v>
      </c>
      <c r="M661" s="26" t="s">
        <v>28</v>
      </c>
      <c r="N661" s="24" t="s">
        <v>1351</v>
      </c>
      <c r="O661" s="24" t="s">
        <v>1359</v>
      </c>
      <c r="P661" s="27"/>
      <c r="Q661" s="27"/>
      <c r="R661" s="28" t="s">
        <v>4112</v>
      </c>
      <c r="S661" s="8" t="s">
        <v>4113</v>
      </c>
      <c r="T661" s="29" t="s">
        <v>4108</v>
      </c>
      <c r="U661" s="24"/>
    </row>
    <row r="662" hidden="1">
      <c r="A662" s="30">
        <v>7.29000875701E12</v>
      </c>
      <c r="B662" s="20" t="s">
        <v>4114</v>
      </c>
      <c r="C662" s="21">
        <v>0.053</v>
      </c>
      <c r="D662" s="21">
        <v>0.196</v>
      </c>
      <c r="E662" s="21">
        <v>0.053</v>
      </c>
      <c r="F662" s="22">
        <v>6.0</v>
      </c>
      <c r="G662" s="23"/>
      <c r="H662" s="24" t="s">
        <v>4107</v>
      </c>
      <c r="I662" s="21" t="s">
        <v>4108</v>
      </c>
      <c r="J662" s="24" t="s">
        <v>4115</v>
      </c>
      <c r="K662" s="21" t="s">
        <v>4116</v>
      </c>
      <c r="L662" s="25" t="s">
        <v>4117</v>
      </c>
      <c r="M662" s="26" t="s">
        <v>37</v>
      </c>
      <c r="N662" s="24" t="s">
        <v>1351</v>
      </c>
      <c r="O662" s="24" t="s">
        <v>1359</v>
      </c>
      <c r="P662" s="27"/>
      <c r="Q662" s="27"/>
      <c r="R662" s="28" t="s">
        <v>4118</v>
      </c>
      <c r="S662" s="8" t="s">
        <v>4119</v>
      </c>
      <c r="T662" s="29" t="e">
        <v>#N/A</v>
      </c>
      <c r="U662" s="24"/>
    </row>
    <row r="663" hidden="1">
      <c r="A663" s="30">
        <v>7.290018471111E12</v>
      </c>
      <c r="B663" s="20" t="s">
        <v>4207</v>
      </c>
      <c r="C663" s="21">
        <v>0.065</v>
      </c>
      <c r="D663" s="21">
        <v>0.221</v>
      </c>
      <c r="E663" s="21">
        <v>0.065</v>
      </c>
      <c r="F663" s="22">
        <v>5.0</v>
      </c>
      <c r="G663" s="23"/>
      <c r="H663" s="24" t="s">
        <v>4107</v>
      </c>
      <c r="I663" s="21" t="s">
        <v>4108</v>
      </c>
      <c r="J663" s="24" t="s">
        <v>4208</v>
      </c>
      <c r="K663" s="21" t="s">
        <v>4209</v>
      </c>
      <c r="L663" s="25" t="s">
        <v>4210</v>
      </c>
      <c r="M663" s="26" t="s">
        <v>28</v>
      </c>
      <c r="N663" s="24" t="s">
        <v>1351</v>
      </c>
      <c r="O663" s="24" t="s">
        <v>1359</v>
      </c>
      <c r="P663" s="27"/>
      <c r="Q663" s="27"/>
      <c r="R663" s="28" t="s">
        <v>4211</v>
      </c>
      <c r="S663" s="8" t="s">
        <v>4212</v>
      </c>
      <c r="T663" s="29" t="s">
        <v>4108</v>
      </c>
      <c r="U663" s="24"/>
    </row>
    <row r="664" hidden="1">
      <c r="A664" s="30">
        <v>7.290012404184E12</v>
      </c>
      <c r="B664" s="20" t="s">
        <v>4140</v>
      </c>
      <c r="C664" s="21">
        <v>0.065</v>
      </c>
      <c r="D664" s="21">
        <v>0.221</v>
      </c>
      <c r="E664" s="21">
        <v>0.065</v>
      </c>
      <c r="F664" s="22">
        <v>5.0</v>
      </c>
      <c r="G664" s="23"/>
      <c r="H664" s="24" t="s">
        <v>4107</v>
      </c>
      <c r="I664" s="21" t="s">
        <v>4108</v>
      </c>
      <c r="J664" s="24" t="s">
        <v>4141</v>
      </c>
      <c r="K664" s="21" t="s">
        <v>4142</v>
      </c>
      <c r="L664" s="25" t="s">
        <v>4143</v>
      </c>
      <c r="M664" s="26" t="s">
        <v>28</v>
      </c>
      <c r="N664" s="24" t="s">
        <v>1351</v>
      </c>
      <c r="O664" s="24" t="s">
        <v>1359</v>
      </c>
      <c r="P664" s="27"/>
      <c r="Q664" s="27"/>
      <c r="R664" s="28" t="s">
        <v>4144</v>
      </c>
      <c r="S664" s="8" t="s">
        <v>4145</v>
      </c>
      <c r="T664" s="29" t="s">
        <v>4108</v>
      </c>
      <c r="U664" s="24"/>
    </row>
    <row r="665" hidden="1">
      <c r="A665" s="30">
        <v>7.290014791572E12</v>
      </c>
      <c r="B665" s="20" t="s">
        <v>4162</v>
      </c>
      <c r="C665" s="21">
        <v>0.065</v>
      </c>
      <c r="D665" s="21">
        <v>0.221</v>
      </c>
      <c r="E665" s="21">
        <v>0.065</v>
      </c>
      <c r="F665" s="22">
        <v>5.0</v>
      </c>
      <c r="G665" s="23"/>
      <c r="H665" s="24" t="s">
        <v>4107</v>
      </c>
      <c r="I665" s="21" t="s">
        <v>4108</v>
      </c>
      <c r="J665" s="24" t="s">
        <v>4163</v>
      </c>
      <c r="K665" s="21" t="s">
        <v>4164</v>
      </c>
      <c r="L665" s="25" t="s">
        <v>4165</v>
      </c>
      <c r="M665" s="26" t="s">
        <v>28</v>
      </c>
      <c r="N665" s="24" t="s">
        <v>1351</v>
      </c>
      <c r="O665" s="24" t="s">
        <v>1359</v>
      </c>
      <c r="P665" s="27"/>
      <c r="Q665" s="27"/>
      <c r="R665" s="28" t="s">
        <v>4166</v>
      </c>
      <c r="S665" s="8" t="s">
        <v>4167</v>
      </c>
      <c r="T665" s="29" t="s">
        <v>4108</v>
      </c>
      <c r="U665" s="24"/>
    </row>
    <row r="666" hidden="1">
      <c r="A666" s="30">
        <v>7.290016006377E12</v>
      </c>
      <c r="B666" s="20" t="s">
        <v>4156</v>
      </c>
      <c r="C666" s="21">
        <v>0.065</v>
      </c>
      <c r="D666" s="21">
        <v>0.221</v>
      </c>
      <c r="E666" s="21">
        <v>0.065</v>
      </c>
      <c r="F666" s="22">
        <v>5.0</v>
      </c>
      <c r="G666" s="23"/>
      <c r="H666" s="24" t="s">
        <v>4107</v>
      </c>
      <c r="I666" s="21" t="s">
        <v>4108</v>
      </c>
      <c r="J666" s="24" t="s">
        <v>4157</v>
      </c>
      <c r="K666" s="21" t="s">
        <v>4158</v>
      </c>
      <c r="L666" s="25" t="s">
        <v>4159</v>
      </c>
      <c r="M666" s="26" t="s">
        <v>28</v>
      </c>
      <c r="N666" s="24" t="s">
        <v>1351</v>
      </c>
      <c r="O666" s="24" t="s">
        <v>1359</v>
      </c>
      <c r="P666" s="27"/>
      <c r="Q666" s="27"/>
      <c r="R666" s="28" t="s">
        <v>4160</v>
      </c>
      <c r="S666" s="8" t="s">
        <v>4161</v>
      </c>
      <c r="T666" s="29" t="s">
        <v>4108</v>
      </c>
      <c r="U666" s="24"/>
    </row>
    <row r="667" hidden="1">
      <c r="A667" s="30">
        <v>7.290012404177E12</v>
      </c>
      <c r="B667" s="20" t="s">
        <v>4126</v>
      </c>
      <c r="C667" s="21">
        <v>0.065</v>
      </c>
      <c r="D667" s="21">
        <v>0.221</v>
      </c>
      <c r="E667" s="21">
        <v>0.065</v>
      </c>
      <c r="F667" s="22">
        <v>5.0</v>
      </c>
      <c r="G667" s="23"/>
      <c r="H667" s="24" t="s">
        <v>4107</v>
      </c>
      <c r="I667" s="21" t="s">
        <v>4108</v>
      </c>
      <c r="J667" s="24" t="s">
        <v>4127</v>
      </c>
      <c r="K667" s="21" t="s">
        <v>4128</v>
      </c>
      <c r="L667" s="25" t="s">
        <v>4129</v>
      </c>
      <c r="M667" s="26" t="s">
        <v>28</v>
      </c>
      <c r="N667" s="24" t="s">
        <v>1351</v>
      </c>
      <c r="O667" s="24" t="s">
        <v>1359</v>
      </c>
      <c r="P667" s="27"/>
      <c r="Q667" s="27"/>
      <c r="R667" s="28" t="s">
        <v>4130</v>
      </c>
      <c r="S667" s="8" t="s">
        <v>4131</v>
      </c>
      <c r="T667" s="29" t="s">
        <v>4108</v>
      </c>
      <c r="U667" s="24"/>
    </row>
    <row r="668" hidden="1">
      <c r="A668" s="30">
        <v>7.29001788888E12</v>
      </c>
      <c r="B668" s="20" t="s">
        <v>4174</v>
      </c>
      <c r="C668" s="21">
        <v>0.058</v>
      </c>
      <c r="D668" s="21">
        <v>0.145</v>
      </c>
      <c r="E668" s="21">
        <v>0.058</v>
      </c>
      <c r="F668" s="22">
        <v>5.0</v>
      </c>
      <c r="G668" s="23"/>
      <c r="H668" s="24" t="s">
        <v>4107</v>
      </c>
      <c r="I668" s="21" t="s">
        <v>4108</v>
      </c>
      <c r="J668" s="24" t="s">
        <v>4175</v>
      </c>
      <c r="K668" s="21" t="s">
        <v>4176</v>
      </c>
      <c r="L668" s="25" t="s">
        <v>4177</v>
      </c>
      <c r="M668" s="26" t="s">
        <v>28</v>
      </c>
      <c r="N668" s="24" t="s">
        <v>1351</v>
      </c>
      <c r="O668" s="24" t="s">
        <v>1359</v>
      </c>
      <c r="P668" s="27"/>
      <c r="Q668" s="27"/>
      <c r="R668" s="28" t="s">
        <v>4178</v>
      </c>
      <c r="S668" s="8" t="s">
        <v>4179</v>
      </c>
      <c r="T668" s="29" t="s">
        <v>4108</v>
      </c>
      <c r="U668" s="24"/>
    </row>
    <row r="669" hidden="1">
      <c r="A669" s="30">
        <v>7.290017888859E12</v>
      </c>
      <c r="B669" s="20" t="s">
        <v>4249</v>
      </c>
      <c r="C669" s="21">
        <v>0.058</v>
      </c>
      <c r="D669" s="21">
        <v>0.145</v>
      </c>
      <c r="E669" s="21">
        <v>0.058</v>
      </c>
      <c r="F669" s="22">
        <v>5.0</v>
      </c>
      <c r="G669" s="23"/>
      <c r="H669" s="24" t="s">
        <v>4107</v>
      </c>
      <c r="I669" s="21" t="s">
        <v>4108</v>
      </c>
      <c r="J669" s="24" t="s">
        <v>4250</v>
      </c>
      <c r="K669" s="21" t="s">
        <v>4251</v>
      </c>
      <c r="L669" s="25" t="s">
        <v>4252</v>
      </c>
      <c r="M669" s="26" t="s">
        <v>28</v>
      </c>
      <c r="N669" s="24" t="s">
        <v>1351</v>
      </c>
      <c r="O669" s="24" t="s">
        <v>1359</v>
      </c>
      <c r="P669" s="27"/>
      <c r="Q669" s="27"/>
      <c r="R669" s="28" t="s">
        <v>4253</v>
      </c>
      <c r="S669" s="8" t="s">
        <v>4254</v>
      </c>
      <c r="T669" s="29" t="s">
        <v>4108</v>
      </c>
      <c r="U669" s="24"/>
    </row>
    <row r="670" hidden="1">
      <c r="A670" s="30">
        <v>7.29001370247E12</v>
      </c>
      <c r="B670" s="20" t="s">
        <v>4168</v>
      </c>
      <c r="C670" s="21">
        <v>0.09</v>
      </c>
      <c r="D670" s="21">
        <v>0.331</v>
      </c>
      <c r="E670" s="21">
        <v>0.09</v>
      </c>
      <c r="F670" s="22">
        <v>3.0</v>
      </c>
      <c r="G670" s="23"/>
      <c r="H670" s="24" t="s">
        <v>4107</v>
      </c>
      <c r="I670" s="21" t="s">
        <v>4108</v>
      </c>
      <c r="J670" s="24" t="s">
        <v>4169</v>
      </c>
      <c r="K670" s="21" t="s">
        <v>4170</v>
      </c>
      <c r="L670" s="25" t="s">
        <v>4171</v>
      </c>
      <c r="M670" s="26" t="s">
        <v>28</v>
      </c>
      <c r="N670" s="24" t="s">
        <v>1351</v>
      </c>
      <c r="O670" s="24" t="s">
        <v>1352</v>
      </c>
      <c r="P670" s="27"/>
      <c r="Q670" s="27"/>
      <c r="R670" s="28" t="s">
        <v>4172</v>
      </c>
      <c r="S670" s="8" t="s">
        <v>4173</v>
      </c>
      <c r="T670" s="29" t="s">
        <v>4108</v>
      </c>
      <c r="U670" s="24"/>
    </row>
    <row r="671" hidden="1">
      <c r="A671" s="30">
        <v>7.290013702463E12</v>
      </c>
      <c r="B671" s="20" t="s">
        <v>4146</v>
      </c>
      <c r="C671" s="21">
        <v>0.09</v>
      </c>
      <c r="D671" s="21">
        <v>0.331</v>
      </c>
      <c r="E671" s="21">
        <v>0.09</v>
      </c>
      <c r="F671" s="22">
        <v>3.0</v>
      </c>
      <c r="G671" s="23"/>
      <c r="H671" s="24" t="s">
        <v>4107</v>
      </c>
      <c r="I671" s="21" t="s">
        <v>4108</v>
      </c>
      <c r="J671" s="24" t="s">
        <v>4147</v>
      </c>
      <c r="K671" s="21" t="s">
        <v>4148</v>
      </c>
      <c r="L671" s="25" t="s">
        <v>4149</v>
      </c>
      <c r="M671" s="26" t="s">
        <v>28</v>
      </c>
      <c r="N671" s="24" t="s">
        <v>1351</v>
      </c>
      <c r="O671" s="24" t="s">
        <v>1352</v>
      </c>
      <c r="P671" s="27"/>
      <c r="Q671" s="27"/>
      <c r="R671" s="28" t="s">
        <v>4150</v>
      </c>
      <c r="S671" s="8" t="s">
        <v>4151</v>
      </c>
      <c r="T671" s="29" t="s">
        <v>4108</v>
      </c>
      <c r="U671" s="24"/>
    </row>
    <row r="672" hidden="1">
      <c r="A672" s="30">
        <v>7.290012404146E12</v>
      </c>
      <c r="B672" s="20" t="s">
        <v>4120</v>
      </c>
      <c r="C672" s="21">
        <v>0.09</v>
      </c>
      <c r="D672" s="21">
        <v>0.331</v>
      </c>
      <c r="E672" s="21">
        <v>0.09</v>
      </c>
      <c r="F672" s="22">
        <v>3.0</v>
      </c>
      <c r="G672" s="23"/>
      <c r="H672" s="24" t="s">
        <v>4107</v>
      </c>
      <c r="I672" s="21" t="s">
        <v>4108</v>
      </c>
      <c r="J672" s="24" t="s">
        <v>4121</v>
      </c>
      <c r="K672" s="21" t="s">
        <v>4122</v>
      </c>
      <c r="L672" s="25" t="s">
        <v>4123</v>
      </c>
      <c r="M672" s="26" t="s">
        <v>28</v>
      </c>
      <c r="N672" s="24" t="s">
        <v>1351</v>
      </c>
      <c r="O672" s="24" t="s">
        <v>1352</v>
      </c>
      <c r="P672" s="27"/>
      <c r="Q672" s="27"/>
      <c r="R672" s="28" t="s">
        <v>4124</v>
      </c>
      <c r="S672" s="8" t="s">
        <v>4125</v>
      </c>
      <c r="T672" s="29" t="s">
        <v>4108</v>
      </c>
      <c r="U672" s="24"/>
    </row>
    <row r="673" hidden="1">
      <c r="A673" s="30">
        <v>7.290000170053E12</v>
      </c>
      <c r="B673" s="20" t="s">
        <v>670</v>
      </c>
      <c r="C673" s="21">
        <v>0.16</v>
      </c>
      <c r="D673" s="21">
        <v>0.079</v>
      </c>
      <c r="E673" s="21">
        <v>0.02</v>
      </c>
      <c r="F673" s="22">
        <v>15.0</v>
      </c>
      <c r="G673" s="23"/>
      <c r="H673" s="24" t="s">
        <v>620</v>
      </c>
      <c r="I673" s="21" t="s">
        <v>621</v>
      </c>
      <c r="J673" s="24" t="s">
        <v>671</v>
      </c>
      <c r="K673" s="21" t="s">
        <v>672</v>
      </c>
      <c r="L673" s="25" t="s">
        <v>673</v>
      </c>
      <c r="M673" s="26" t="s">
        <v>37</v>
      </c>
      <c r="N673" s="24" t="s">
        <v>626</v>
      </c>
      <c r="O673" s="24" t="s">
        <v>627</v>
      </c>
      <c r="P673" s="27"/>
      <c r="Q673" s="27"/>
      <c r="R673" s="28" t="s">
        <v>674</v>
      </c>
      <c r="S673" s="8" t="s">
        <v>675</v>
      </c>
      <c r="T673" s="29" t="e">
        <v>#N/A</v>
      </c>
      <c r="U673" s="24"/>
    </row>
    <row r="674" hidden="1">
      <c r="A674" s="30">
        <v>7.29011235121E12</v>
      </c>
      <c r="B674" s="20" t="s">
        <v>658</v>
      </c>
      <c r="C674" s="21">
        <v>0.16</v>
      </c>
      <c r="D674" s="21">
        <v>0.079</v>
      </c>
      <c r="E674" s="21">
        <v>0.01</v>
      </c>
      <c r="F674" s="22">
        <v>30.0</v>
      </c>
      <c r="G674" s="23"/>
      <c r="H674" s="24" t="s">
        <v>620</v>
      </c>
      <c r="I674" s="21" t="s">
        <v>621</v>
      </c>
      <c r="J674" s="24" t="s">
        <v>659</v>
      </c>
      <c r="K674" s="21" t="s">
        <v>660</v>
      </c>
      <c r="L674" s="25" t="s">
        <v>661</v>
      </c>
      <c r="M674" s="26" t="s">
        <v>28</v>
      </c>
      <c r="N674" s="24" t="s">
        <v>626</v>
      </c>
      <c r="O674" s="24" t="s">
        <v>627</v>
      </c>
      <c r="P674" s="27"/>
      <c r="Q674" s="27"/>
      <c r="R674" s="28" t="s">
        <v>662</v>
      </c>
      <c r="S674" s="8" t="s">
        <v>663</v>
      </c>
      <c r="T674" s="29" t="s">
        <v>636</v>
      </c>
      <c r="U674" s="24"/>
    </row>
    <row r="675" hidden="1">
      <c r="A675" s="30">
        <v>7.290112351197E12</v>
      </c>
      <c r="B675" s="20" t="s">
        <v>630</v>
      </c>
      <c r="C675" s="21">
        <v>0.16</v>
      </c>
      <c r="D675" s="21">
        <v>0.079</v>
      </c>
      <c r="E675" s="21">
        <v>0.01</v>
      </c>
      <c r="F675" s="22">
        <v>30.0</v>
      </c>
      <c r="G675" s="23"/>
      <c r="H675" s="24" t="s">
        <v>620</v>
      </c>
      <c r="I675" s="21" t="s">
        <v>621</v>
      </c>
      <c r="J675" s="24" t="s">
        <v>631</v>
      </c>
      <c r="K675" s="21" t="s">
        <v>632</v>
      </c>
      <c r="L675" s="25" t="s">
        <v>633</v>
      </c>
      <c r="M675" s="26" t="s">
        <v>28</v>
      </c>
      <c r="N675" s="24" t="s">
        <v>626</v>
      </c>
      <c r="O675" s="24" t="s">
        <v>627</v>
      </c>
      <c r="P675" s="27"/>
      <c r="Q675" s="27"/>
      <c r="R675" s="28" t="s">
        <v>634</v>
      </c>
      <c r="S675" s="8" t="s">
        <v>635</v>
      </c>
      <c r="T675" s="29" t="s">
        <v>636</v>
      </c>
      <c r="U675" s="24"/>
    </row>
    <row r="676" hidden="1">
      <c r="A676" s="30">
        <v>7.290000170077E12</v>
      </c>
      <c r="B676" s="20" t="s">
        <v>619</v>
      </c>
      <c r="C676" s="21">
        <v>0.16</v>
      </c>
      <c r="D676" s="21">
        <v>0.079</v>
      </c>
      <c r="E676" s="21">
        <v>0.02</v>
      </c>
      <c r="F676" s="22">
        <v>15.0</v>
      </c>
      <c r="G676" s="23"/>
      <c r="H676" s="24" t="s">
        <v>620</v>
      </c>
      <c r="I676" s="21" t="s">
        <v>621</v>
      </c>
      <c r="J676" s="24" t="s">
        <v>623</v>
      </c>
      <c r="K676" s="21" t="s">
        <v>624</v>
      </c>
      <c r="L676" s="25" t="s">
        <v>625</v>
      </c>
      <c r="M676" s="26" t="s">
        <v>37</v>
      </c>
      <c r="N676" s="24" t="s">
        <v>626</v>
      </c>
      <c r="O676" s="24" t="s">
        <v>627</v>
      </c>
      <c r="P676" s="27"/>
      <c r="Q676" s="27"/>
      <c r="R676" s="28" t="s">
        <v>628</v>
      </c>
      <c r="S676" s="8" t="s">
        <v>629</v>
      </c>
      <c r="T676" s="29" t="e">
        <v>#N/A</v>
      </c>
      <c r="U676" s="24"/>
    </row>
    <row r="677" hidden="1">
      <c r="A677" s="30">
        <v>7.290005200908E12</v>
      </c>
      <c r="B677" s="20" t="s">
        <v>664</v>
      </c>
      <c r="C677" s="21">
        <v>0.135</v>
      </c>
      <c r="D677" s="21">
        <v>0.135</v>
      </c>
      <c r="E677" s="21">
        <v>0.015</v>
      </c>
      <c r="F677" s="22">
        <v>20.0</v>
      </c>
      <c r="G677" s="23"/>
      <c r="H677" s="24" t="s">
        <v>620</v>
      </c>
      <c r="I677" s="21" t="s">
        <v>621</v>
      </c>
      <c r="J677" s="24" t="s">
        <v>665</v>
      </c>
      <c r="K677" s="21" t="s">
        <v>666</v>
      </c>
      <c r="L677" s="25" t="s">
        <v>667</v>
      </c>
      <c r="M677" s="26" t="s">
        <v>37</v>
      </c>
      <c r="N677" s="24" t="s">
        <v>626</v>
      </c>
      <c r="O677" s="24" t="s">
        <v>649</v>
      </c>
      <c r="P677" s="27"/>
      <c r="Q677" s="27"/>
      <c r="R677" s="28" t="s">
        <v>668</v>
      </c>
      <c r="S677" s="8" t="s">
        <v>669</v>
      </c>
      <c r="T677" s="29" t="e">
        <v>#N/A</v>
      </c>
      <c r="U677" s="24"/>
    </row>
    <row r="678" hidden="1">
      <c r="A678" s="30">
        <v>7.290008747431E12</v>
      </c>
      <c r="B678" s="20" t="s">
        <v>645</v>
      </c>
      <c r="C678" s="21">
        <v>0.04</v>
      </c>
      <c r="D678" s="21">
        <v>0.15</v>
      </c>
      <c r="E678" s="21">
        <v>0.02</v>
      </c>
      <c r="F678" s="22">
        <v>15.0</v>
      </c>
      <c r="G678" s="23"/>
      <c r="H678" s="24" t="s">
        <v>620</v>
      </c>
      <c r="I678" s="21" t="s">
        <v>621</v>
      </c>
      <c r="J678" s="24" t="s">
        <v>646</v>
      </c>
      <c r="K678" s="21" t="s">
        <v>647</v>
      </c>
      <c r="L678" s="25" t="s">
        <v>648</v>
      </c>
      <c r="M678" s="26" t="s">
        <v>37</v>
      </c>
      <c r="N678" s="24" t="s">
        <v>626</v>
      </c>
      <c r="O678" s="24" t="s">
        <v>649</v>
      </c>
      <c r="P678" s="27"/>
      <c r="Q678" s="27"/>
      <c r="R678" s="28" t="s">
        <v>650</v>
      </c>
      <c r="S678" s="8" t="s">
        <v>651</v>
      </c>
      <c r="T678" s="29" t="e">
        <v>#N/A</v>
      </c>
      <c r="U678" s="24"/>
    </row>
    <row r="679" hidden="1">
      <c r="A679" s="30">
        <v>7.290008747424E12</v>
      </c>
      <c r="B679" s="20" t="s">
        <v>652</v>
      </c>
      <c r="C679" s="21">
        <v>0.16</v>
      </c>
      <c r="D679" s="21">
        <v>0.079</v>
      </c>
      <c r="E679" s="21">
        <v>0.02</v>
      </c>
      <c r="F679" s="22">
        <v>15.0</v>
      </c>
      <c r="G679" s="23"/>
      <c r="H679" s="24" t="s">
        <v>620</v>
      </c>
      <c r="I679" s="21" t="s">
        <v>621</v>
      </c>
      <c r="J679" s="24" t="s">
        <v>653</v>
      </c>
      <c r="K679" s="21" t="s">
        <v>654</v>
      </c>
      <c r="L679" s="25" t="s">
        <v>655</v>
      </c>
      <c r="M679" s="26" t="s">
        <v>37</v>
      </c>
      <c r="N679" s="24" t="s">
        <v>626</v>
      </c>
      <c r="O679" s="24" t="s">
        <v>649</v>
      </c>
      <c r="P679" s="27"/>
      <c r="Q679" s="27"/>
      <c r="R679" s="28" t="s">
        <v>656</v>
      </c>
      <c r="S679" s="8" t="s">
        <v>657</v>
      </c>
      <c r="T679" s="29" t="e">
        <v>#N/A</v>
      </c>
      <c r="U679" s="24"/>
    </row>
    <row r="680" hidden="1">
      <c r="A680" s="30">
        <v>7.290112351098E12</v>
      </c>
      <c r="B680" s="20" t="s">
        <v>676</v>
      </c>
      <c r="C680" s="21">
        <v>0.16</v>
      </c>
      <c r="D680" s="21">
        <v>0.08</v>
      </c>
      <c r="E680" s="21">
        <v>0.01</v>
      </c>
      <c r="F680" s="22">
        <v>30.0</v>
      </c>
      <c r="G680" s="23"/>
      <c r="H680" s="24" t="s">
        <v>620</v>
      </c>
      <c r="I680" s="21" t="s">
        <v>621</v>
      </c>
      <c r="J680" s="24" t="s">
        <v>677</v>
      </c>
      <c r="K680" s="21" t="s">
        <v>678</v>
      </c>
      <c r="L680" s="25" t="s">
        <v>679</v>
      </c>
      <c r="M680" s="26" t="s">
        <v>28</v>
      </c>
      <c r="N680" s="24" t="s">
        <v>626</v>
      </c>
      <c r="O680" s="24" t="s">
        <v>649</v>
      </c>
      <c r="P680" s="27"/>
      <c r="Q680" s="27"/>
      <c r="R680" s="28" t="s">
        <v>680</v>
      </c>
      <c r="S680" s="8" t="s">
        <v>681</v>
      </c>
      <c r="T680" s="29" t="s">
        <v>636</v>
      </c>
      <c r="U680" s="24"/>
    </row>
    <row r="681" hidden="1">
      <c r="A681" s="30">
        <v>7.2900087504E12</v>
      </c>
      <c r="B681" s="20" t="s">
        <v>688</v>
      </c>
      <c r="C681" s="21">
        <v>0.16</v>
      </c>
      <c r="D681" s="21">
        <v>0.079</v>
      </c>
      <c r="E681" s="21">
        <v>0.02</v>
      </c>
      <c r="F681" s="22">
        <v>15.0</v>
      </c>
      <c r="G681" s="23"/>
      <c r="H681" s="24" t="s">
        <v>620</v>
      </c>
      <c r="I681" s="21" t="s">
        <v>621</v>
      </c>
      <c r="J681" s="24" t="s">
        <v>689</v>
      </c>
      <c r="K681" s="21" t="s">
        <v>690</v>
      </c>
      <c r="L681" s="25" t="s">
        <v>5265</v>
      </c>
      <c r="M681" s="26" t="s">
        <v>37</v>
      </c>
      <c r="N681" s="24" t="s">
        <v>626</v>
      </c>
      <c r="O681" s="24" t="s">
        <v>649</v>
      </c>
      <c r="P681" s="27"/>
      <c r="Q681" s="27"/>
      <c r="R681" s="28" t="s">
        <v>692</v>
      </c>
      <c r="S681" s="8" t="s">
        <v>693</v>
      </c>
      <c r="T681" s="29" t="e">
        <v>#N/A</v>
      </c>
      <c r="U681" s="24"/>
    </row>
    <row r="682" hidden="1">
      <c r="A682" s="30">
        <v>7.290107951623E12</v>
      </c>
      <c r="B682" s="20" t="s">
        <v>637</v>
      </c>
      <c r="C682" s="21">
        <v>0.16</v>
      </c>
      <c r="D682" s="21">
        <v>0.079</v>
      </c>
      <c r="E682" s="21">
        <v>0.02</v>
      </c>
      <c r="F682" s="22">
        <v>15.0</v>
      </c>
      <c r="G682" s="23"/>
      <c r="H682" s="24" t="s">
        <v>620</v>
      </c>
      <c r="I682" s="21" t="s">
        <v>621</v>
      </c>
      <c r="J682" s="24" t="s">
        <v>638</v>
      </c>
      <c r="K682" s="21" t="s">
        <v>639</v>
      </c>
      <c r="L682" s="25" t="s">
        <v>640</v>
      </c>
      <c r="M682" s="26" t="s">
        <v>28</v>
      </c>
      <c r="N682" s="24" t="s">
        <v>641</v>
      </c>
      <c r="O682" s="24" t="s">
        <v>642</v>
      </c>
      <c r="P682" s="27"/>
      <c r="Q682" s="27"/>
      <c r="R682" s="28" t="s">
        <v>643</v>
      </c>
      <c r="S682" s="8" t="s">
        <v>644</v>
      </c>
      <c r="T682" s="29" t="s">
        <v>636</v>
      </c>
      <c r="U682" s="24"/>
    </row>
    <row r="683" hidden="1">
      <c r="A683" s="30">
        <v>7.290112348548E12</v>
      </c>
      <c r="B683" s="20" t="s">
        <v>682</v>
      </c>
      <c r="C683" s="21">
        <v>0.16</v>
      </c>
      <c r="D683" s="21">
        <v>0.079</v>
      </c>
      <c r="E683" s="21">
        <v>0.02</v>
      </c>
      <c r="F683" s="22">
        <v>15.0</v>
      </c>
      <c r="G683" s="23"/>
      <c r="H683" s="24" t="s">
        <v>620</v>
      </c>
      <c r="I683" s="21" t="s">
        <v>621</v>
      </c>
      <c r="J683" s="24" t="s">
        <v>683</v>
      </c>
      <c r="K683" s="21" t="s">
        <v>684</v>
      </c>
      <c r="L683" s="25" t="s">
        <v>685</v>
      </c>
      <c r="M683" s="26" t="s">
        <v>28</v>
      </c>
      <c r="N683" s="24" t="s">
        <v>641</v>
      </c>
      <c r="O683" s="24" t="s">
        <v>642</v>
      </c>
      <c r="P683" s="27"/>
      <c r="Q683" s="27"/>
      <c r="R683" s="28" t="s">
        <v>686</v>
      </c>
      <c r="S683" s="8" t="s">
        <v>687</v>
      </c>
      <c r="T683" s="29" t="s">
        <v>636</v>
      </c>
      <c r="U683" s="24"/>
    </row>
    <row r="684" hidden="1">
      <c r="A684" s="30">
        <v>7.290106664067E12</v>
      </c>
      <c r="B684" s="20" t="s">
        <v>2305</v>
      </c>
      <c r="C684" s="21">
        <v>0.11</v>
      </c>
      <c r="D684" s="21">
        <v>0.09999999</v>
      </c>
      <c r="E684" s="21">
        <v>0.075</v>
      </c>
      <c r="F684" s="22">
        <v>4.0</v>
      </c>
      <c r="G684" s="23"/>
      <c r="H684" s="24" t="s">
        <v>2306</v>
      </c>
      <c r="I684" s="21" t="s">
        <v>2307</v>
      </c>
      <c r="J684" s="24" t="s">
        <v>2308</v>
      </c>
      <c r="K684" s="21" t="s">
        <v>2309</v>
      </c>
      <c r="L684" s="25" t="s">
        <v>2310</v>
      </c>
      <c r="M684" s="26" t="s">
        <v>28</v>
      </c>
      <c r="N684" s="24" t="s">
        <v>2311</v>
      </c>
      <c r="O684" s="24" t="s">
        <v>2312</v>
      </c>
      <c r="P684" s="27"/>
      <c r="Q684" s="27"/>
      <c r="R684" s="28" t="s">
        <v>2313</v>
      </c>
      <c r="S684" s="8" t="s">
        <v>2314</v>
      </c>
      <c r="T684" s="29" t="s">
        <v>2315</v>
      </c>
      <c r="U684" s="24"/>
    </row>
    <row r="685" hidden="1">
      <c r="A685" s="30">
        <v>7.290014760141E12</v>
      </c>
      <c r="B685" s="20" t="s">
        <v>56</v>
      </c>
      <c r="C685" s="21">
        <v>0.075</v>
      </c>
      <c r="D685" s="21">
        <v>0.232</v>
      </c>
      <c r="E685" s="21">
        <v>0.07</v>
      </c>
      <c r="F685" s="22">
        <v>4.0</v>
      </c>
      <c r="G685" s="23"/>
      <c r="H685" s="32" t="s">
        <v>57</v>
      </c>
      <c r="I685" s="21" t="s">
        <v>58</v>
      </c>
      <c r="J685" s="24" t="s">
        <v>59</v>
      </c>
      <c r="K685" s="21" t="s">
        <v>60</v>
      </c>
      <c r="L685" s="25" t="s">
        <v>61</v>
      </c>
      <c r="M685" s="26" t="s">
        <v>28</v>
      </c>
      <c r="N685" s="24" t="s">
        <v>62</v>
      </c>
      <c r="O685" s="24" t="s">
        <v>63</v>
      </c>
      <c r="P685" s="27"/>
      <c r="Q685" s="27"/>
      <c r="R685" s="28" t="s">
        <v>64</v>
      </c>
      <c r="S685" s="8" t="s">
        <v>65</v>
      </c>
      <c r="T685" s="29" t="s">
        <v>58</v>
      </c>
      <c r="U685" s="24"/>
    </row>
    <row r="686" hidden="1">
      <c r="A686" s="30">
        <v>4125585.0</v>
      </c>
      <c r="B686" s="20" t="s">
        <v>81</v>
      </c>
      <c r="C686" s="21">
        <v>0.08</v>
      </c>
      <c r="D686" s="21">
        <v>0.23</v>
      </c>
      <c r="E686" s="21">
        <v>0.07</v>
      </c>
      <c r="F686" s="22">
        <v>4.0</v>
      </c>
      <c r="G686" s="23"/>
      <c r="H686" s="32" t="s">
        <v>57</v>
      </c>
      <c r="I686" s="21" t="s">
        <v>67</v>
      </c>
      <c r="J686" s="24" t="s">
        <v>82</v>
      </c>
      <c r="K686" s="21" t="s">
        <v>83</v>
      </c>
      <c r="L686" s="25" t="s">
        <v>84</v>
      </c>
      <c r="M686" s="26" t="s">
        <v>28</v>
      </c>
      <c r="N686" s="24" t="s">
        <v>71</v>
      </c>
      <c r="O686" s="24" t="s">
        <v>85</v>
      </c>
      <c r="P686" s="27"/>
      <c r="Q686" s="27"/>
      <c r="R686" s="28" t="s">
        <v>86</v>
      </c>
      <c r="S686" s="8" t="s">
        <v>87</v>
      </c>
      <c r="T686" s="29" t="s">
        <v>67</v>
      </c>
      <c r="U686" s="24"/>
    </row>
    <row r="687" hidden="1">
      <c r="A687" s="30">
        <v>4125578.0</v>
      </c>
      <c r="B687" s="20" t="s">
        <v>66</v>
      </c>
      <c r="C687" s="21">
        <v>0.08</v>
      </c>
      <c r="D687" s="21">
        <v>0.23</v>
      </c>
      <c r="E687" s="21">
        <v>0.07</v>
      </c>
      <c r="F687" s="22">
        <v>4.0</v>
      </c>
      <c r="G687" s="23"/>
      <c r="H687" s="32" t="s">
        <v>57</v>
      </c>
      <c r="I687" s="21" t="s">
        <v>67</v>
      </c>
      <c r="J687" s="24" t="s">
        <v>68</v>
      </c>
      <c r="K687" s="21" t="s">
        <v>69</v>
      </c>
      <c r="L687" s="25" t="s">
        <v>70</v>
      </c>
      <c r="M687" s="26" t="s">
        <v>28</v>
      </c>
      <c r="N687" s="24" t="s">
        <v>71</v>
      </c>
      <c r="O687" s="24" t="s">
        <v>72</v>
      </c>
      <c r="P687" s="27"/>
      <c r="Q687" s="27"/>
      <c r="R687" s="28" t="s">
        <v>73</v>
      </c>
      <c r="S687" s="8" t="s">
        <v>74</v>
      </c>
      <c r="T687" s="29" t="s">
        <v>67</v>
      </c>
      <c r="U687" s="24"/>
    </row>
    <row r="688" hidden="1">
      <c r="A688" s="30">
        <v>7.290110325619E12</v>
      </c>
      <c r="B688" s="20" t="s">
        <v>75</v>
      </c>
      <c r="C688" s="21">
        <v>0.08</v>
      </c>
      <c r="D688" s="21">
        <v>0.23</v>
      </c>
      <c r="E688" s="21">
        <v>0.08</v>
      </c>
      <c r="F688" s="22">
        <v>4.0</v>
      </c>
      <c r="G688" s="23"/>
      <c r="H688" s="32" t="s">
        <v>57</v>
      </c>
      <c r="I688" s="21" t="s">
        <v>67</v>
      </c>
      <c r="J688" s="24" t="s">
        <v>76</v>
      </c>
      <c r="K688" s="21" t="s">
        <v>77</v>
      </c>
      <c r="L688" s="25" t="s">
        <v>78</v>
      </c>
      <c r="M688" s="26" t="s">
        <v>28</v>
      </c>
      <c r="N688" s="24" t="s">
        <v>62</v>
      </c>
      <c r="O688" s="24" t="s">
        <v>63</v>
      </c>
      <c r="P688" s="27"/>
      <c r="Q688" s="27"/>
      <c r="R688" s="28" t="s">
        <v>79</v>
      </c>
      <c r="S688" s="8" t="s">
        <v>80</v>
      </c>
      <c r="T688" s="29" t="s">
        <v>67</v>
      </c>
      <c r="U688" s="24"/>
    </row>
    <row r="689" hidden="1">
      <c r="A689" s="30">
        <v>7.290014763289E12</v>
      </c>
      <c r="B689" s="20" t="s">
        <v>88</v>
      </c>
      <c r="C689" s="21">
        <v>0.06</v>
      </c>
      <c r="D689" s="21">
        <v>0.16</v>
      </c>
      <c r="E689" s="21">
        <v>0.075</v>
      </c>
      <c r="F689" s="22">
        <v>4.0</v>
      </c>
      <c r="G689" s="23"/>
      <c r="H689" s="32" t="s">
        <v>57</v>
      </c>
      <c r="I689" s="21" t="s">
        <v>89</v>
      </c>
      <c r="J689" s="24" t="s">
        <v>90</v>
      </c>
      <c r="K689" s="21" t="s">
        <v>91</v>
      </c>
      <c r="L689" s="25" t="s">
        <v>92</v>
      </c>
      <c r="M689" s="26" t="s">
        <v>28</v>
      </c>
      <c r="N689" s="24" t="s">
        <v>93</v>
      </c>
      <c r="O689" s="24" t="s">
        <v>94</v>
      </c>
      <c r="P689" s="27"/>
      <c r="Q689" s="27"/>
      <c r="R689" s="28" t="s">
        <v>95</v>
      </c>
      <c r="S689" s="8" t="s">
        <v>96</v>
      </c>
      <c r="T689" s="29" t="s">
        <v>89</v>
      </c>
      <c r="U689" s="24"/>
    </row>
    <row r="690" hidden="1">
      <c r="A690" s="30">
        <v>7.290014763272E12</v>
      </c>
      <c r="B690" s="20" t="s">
        <v>97</v>
      </c>
      <c r="C690" s="21">
        <v>0.06</v>
      </c>
      <c r="D690" s="21">
        <v>0.16</v>
      </c>
      <c r="E690" s="21">
        <v>0.075</v>
      </c>
      <c r="F690" s="22">
        <v>4.0</v>
      </c>
      <c r="G690" s="23"/>
      <c r="H690" s="32" t="s">
        <v>57</v>
      </c>
      <c r="I690" s="21" t="s">
        <v>89</v>
      </c>
      <c r="J690" s="24" t="s">
        <v>98</v>
      </c>
      <c r="K690" s="21" t="s">
        <v>99</v>
      </c>
      <c r="L690" s="25" t="s">
        <v>100</v>
      </c>
      <c r="M690" s="26" t="s">
        <v>28</v>
      </c>
      <c r="N690" s="24" t="s">
        <v>93</v>
      </c>
      <c r="O690" s="24" t="s">
        <v>94</v>
      </c>
      <c r="P690" s="27"/>
      <c r="Q690" s="27"/>
      <c r="R690" s="28" t="s">
        <v>101</v>
      </c>
      <c r="S690" s="8" t="s">
        <v>102</v>
      </c>
      <c r="T690" s="29" t="s">
        <v>89</v>
      </c>
      <c r="U690" s="24"/>
    </row>
    <row r="691" hidden="1">
      <c r="A691" s="30">
        <v>7.2963104E7</v>
      </c>
      <c r="B691" s="20" t="s">
        <v>547</v>
      </c>
      <c r="C691" s="21">
        <v>0.09</v>
      </c>
      <c r="D691" s="21">
        <v>0.053</v>
      </c>
      <c r="E691" s="21">
        <v>0.02</v>
      </c>
      <c r="F691" s="22">
        <v>15.0</v>
      </c>
      <c r="G691" s="23"/>
      <c r="H691" s="32" t="s">
        <v>57</v>
      </c>
      <c r="I691" s="21" t="s">
        <v>548</v>
      </c>
      <c r="J691" s="24" t="s">
        <v>549</v>
      </c>
      <c r="K691" s="21" t="s">
        <v>550</v>
      </c>
      <c r="L691" s="25" t="s">
        <v>551</v>
      </c>
      <c r="M691" s="26" t="s">
        <v>28</v>
      </c>
      <c r="N691" s="24" t="s">
        <v>552</v>
      </c>
      <c r="O691" s="24" t="s">
        <v>553</v>
      </c>
      <c r="P691" s="27"/>
      <c r="Q691" s="27"/>
      <c r="R691" s="28" t="s">
        <v>554</v>
      </c>
      <c r="S691" s="8" t="s">
        <v>555</v>
      </c>
      <c r="T691" s="29" t="s">
        <v>548</v>
      </c>
      <c r="U691" s="24"/>
    </row>
    <row r="692" hidden="1">
      <c r="A692" s="30">
        <v>4131531.0</v>
      </c>
      <c r="B692" s="20" t="s">
        <v>704</v>
      </c>
      <c r="C692" s="21">
        <v>0.08</v>
      </c>
      <c r="D692" s="21">
        <v>0.26</v>
      </c>
      <c r="E692" s="21">
        <v>0.075</v>
      </c>
      <c r="F692" s="22">
        <v>4.0</v>
      </c>
      <c r="G692" s="23"/>
      <c r="H692" s="32" t="s">
        <v>57</v>
      </c>
      <c r="I692" s="21" t="s">
        <v>705</v>
      </c>
      <c r="J692" s="24" t="s">
        <v>706</v>
      </c>
      <c r="K692" s="21" t="s">
        <v>707</v>
      </c>
      <c r="L692" s="25" t="s">
        <v>708</v>
      </c>
      <c r="M692" s="26" t="s">
        <v>28</v>
      </c>
      <c r="N692" s="24" t="s">
        <v>700</v>
      </c>
      <c r="O692" s="24" t="s">
        <v>709</v>
      </c>
      <c r="P692" s="27"/>
      <c r="Q692" s="27"/>
      <c r="R692" s="31" t="s">
        <v>710</v>
      </c>
      <c r="S692" s="8" t="s">
        <v>711</v>
      </c>
      <c r="T692" s="29" t="s">
        <v>705</v>
      </c>
      <c r="U692" s="24"/>
    </row>
    <row r="693" hidden="1">
      <c r="A693" s="30">
        <v>4132231.0</v>
      </c>
      <c r="B693" s="20" t="s">
        <v>902</v>
      </c>
      <c r="C693" s="21">
        <v>0.08</v>
      </c>
      <c r="D693" s="21">
        <v>0.232</v>
      </c>
      <c r="E693" s="21">
        <v>0.075</v>
      </c>
      <c r="F693" s="22">
        <v>4.0</v>
      </c>
      <c r="G693" s="23"/>
      <c r="H693" s="32" t="s">
        <v>57</v>
      </c>
      <c r="I693" s="21" t="s">
        <v>903</v>
      </c>
      <c r="J693" s="24" t="s">
        <v>904</v>
      </c>
      <c r="K693" s="21" t="s">
        <v>905</v>
      </c>
      <c r="L693" s="25" t="s">
        <v>906</v>
      </c>
      <c r="M693" s="26" t="s">
        <v>28</v>
      </c>
      <c r="N693" s="24" t="s">
        <v>907</v>
      </c>
      <c r="O693" s="24" t="s">
        <v>908</v>
      </c>
      <c r="P693" s="27"/>
      <c r="Q693" s="27"/>
      <c r="R693" s="28" t="s">
        <v>909</v>
      </c>
      <c r="S693" s="8" t="s">
        <v>910</v>
      </c>
      <c r="T693" s="29" t="s">
        <v>903</v>
      </c>
      <c r="U693" s="24"/>
    </row>
    <row r="694" hidden="1">
      <c r="A694" s="30">
        <v>4125455.0</v>
      </c>
      <c r="B694" s="20" t="s">
        <v>970</v>
      </c>
      <c r="C694" s="21">
        <v>0.07</v>
      </c>
      <c r="D694" s="21">
        <v>0.08</v>
      </c>
      <c r="E694" s="21">
        <v>0.075</v>
      </c>
      <c r="F694" s="22">
        <v>4.0</v>
      </c>
      <c r="G694" s="23"/>
      <c r="H694" s="32" t="s">
        <v>57</v>
      </c>
      <c r="I694" s="21" t="s">
        <v>971</v>
      </c>
      <c r="J694" s="24" t="s">
        <v>972</v>
      </c>
      <c r="K694" s="21" t="s">
        <v>973</v>
      </c>
      <c r="L694" s="25" t="s">
        <v>974</v>
      </c>
      <c r="M694" s="26" t="s">
        <v>28</v>
      </c>
      <c r="N694" s="24" t="s">
        <v>975</v>
      </c>
      <c r="O694" s="24" t="s">
        <v>976</v>
      </c>
      <c r="P694" s="27"/>
      <c r="Q694" s="27"/>
      <c r="R694" s="28" t="s">
        <v>977</v>
      </c>
      <c r="S694" s="8" t="s">
        <v>978</v>
      </c>
      <c r="T694" s="29" t="s">
        <v>971</v>
      </c>
      <c r="U694" s="24"/>
    </row>
    <row r="695" hidden="1">
      <c r="A695" s="30">
        <v>7.290110325893E12</v>
      </c>
      <c r="B695" s="20" t="s">
        <v>1704</v>
      </c>
      <c r="C695" s="21">
        <v>0.055</v>
      </c>
      <c r="D695" s="21">
        <v>0.17</v>
      </c>
      <c r="E695" s="21">
        <v>0.08</v>
      </c>
      <c r="F695" s="22">
        <v>4.0</v>
      </c>
      <c r="G695" s="23"/>
      <c r="H695" s="32" t="s">
        <v>57</v>
      </c>
      <c r="I695" s="21" t="s">
        <v>1671</v>
      </c>
      <c r="J695" s="24" t="s">
        <v>1705</v>
      </c>
      <c r="K695" s="21" t="s">
        <v>1706</v>
      </c>
      <c r="L695" s="25" t="s">
        <v>1707</v>
      </c>
      <c r="M695" s="26" t="s">
        <v>28</v>
      </c>
      <c r="N695" s="24" t="s">
        <v>700</v>
      </c>
      <c r="O695" s="24" t="s">
        <v>1078</v>
      </c>
      <c r="P695" s="27"/>
      <c r="Q695" s="27"/>
      <c r="R695" s="28" t="s">
        <v>1708</v>
      </c>
      <c r="S695" s="8" t="s">
        <v>1709</v>
      </c>
      <c r="T695" s="29" t="s">
        <v>1671</v>
      </c>
      <c r="U695" s="24"/>
    </row>
    <row r="696" hidden="1">
      <c r="A696" s="30">
        <v>7.290110324773E12</v>
      </c>
      <c r="B696" s="20" t="s">
        <v>1710</v>
      </c>
      <c r="C696" s="21">
        <v>0.055</v>
      </c>
      <c r="D696" s="21">
        <v>0.17</v>
      </c>
      <c r="E696" s="21">
        <v>0.08</v>
      </c>
      <c r="F696" s="22">
        <v>4.0</v>
      </c>
      <c r="G696" s="23"/>
      <c r="H696" s="32" t="s">
        <v>57</v>
      </c>
      <c r="I696" s="21" t="s">
        <v>1671</v>
      </c>
      <c r="J696" s="24" t="s">
        <v>1711</v>
      </c>
      <c r="K696" s="21" t="s">
        <v>1712</v>
      </c>
      <c r="L696" s="25" t="s">
        <v>1713</v>
      </c>
      <c r="M696" s="26" t="s">
        <v>28</v>
      </c>
      <c r="N696" s="24" t="s">
        <v>700</v>
      </c>
      <c r="O696" s="24" t="s">
        <v>1078</v>
      </c>
      <c r="P696" s="27"/>
      <c r="Q696" s="27"/>
      <c r="R696" s="28" t="s">
        <v>1714</v>
      </c>
      <c r="S696" s="8" t="s">
        <v>1715</v>
      </c>
      <c r="T696" s="29" t="s">
        <v>1671</v>
      </c>
      <c r="U696" s="24"/>
    </row>
    <row r="697" hidden="1">
      <c r="A697" s="30">
        <v>7.290110325886E12</v>
      </c>
      <c r="B697" s="20" t="s">
        <v>1723</v>
      </c>
      <c r="C697" s="21">
        <v>0.07</v>
      </c>
      <c r="D697" s="21">
        <v>0.15</v>
      </c>
      <c r="E697" s="21">
        <v>0.075</v>
      </c>
      <c r="F697" s="22">
        <v>4.0</v>
      </c>
      <c r="G697" s="23"/>
      <c r="H697" s="32" t="s">
        <v>57</v>
      </c>
      <c r="I697" s="21" t="s">
        <v>1717</v>
      </c>
      <c r="J697" s="24" t="s">
        <v>1724</v>
      </c>
      <c r="K697" s="21" t="s">
        <v>1725</v>
      </c>
      <c r="L697" s="25" t="s">
        <v>1726</v>
      </c>
      <c r="M697" s="26" t="s">
        <v>28</v>
      </c>
      <c r="N697" s="24" t="s">
        <v>700</v>
      </c>
      <c r="O697" s="24" t="s">
        <v>1078</v>
      </c>
      <c r="P697" s="27"/>
      <c r="Q697" s="27"/>
      <c r="R697" s="31" t="s">
        <v>1727</v>
      </c>
      <c r="S697" s="8" t="s">
        <v>1728</v>
      </c>
      <c r="T697" s="29" t="s">
        <v>1717</v>
      </c>
      <c r="U697" s="24"/>
    </row>
    <row r="698" hidden="1">
      <c r="A698" s="30">
        <v>42435.0</v>
      </c>
      <c r="B698" s="20" t="s">
        <v>2780</v>
      </c>
      <c r="C698" s="21">
        <v>0.075</v>
      </c>
      <c r="D698" s="21">
        <v>0.232</v>
      </c>
      <c r="E698" s="21">
        <v>0.07</v>
      </c>
      <c r="F698" s="22">
        <v>4.0</v>
      </c>
      <c r="G698" s="23"/>
      <c r="H698" s="32" t="s">
        <v>57</v>
      </c>
      <c r="I698" s="21" t="s">
        <v>2781</v>
      </c>
      <c r="J698" s="24" t="s">
        <v>2782</v>
      </c>
      <c r="K698" s="21" t="s">
        <v>2783</v>
      </c>
      <c r="L698" s="25" t="s">
        <v>2784</v>
      </c>
      <c r="M698" s="26" t="s">
        <v>28</v>
      </c>
      <c r="N698" s="24" t="s">
        <v>907</v>
      </c>
      <c r="O698" s="24" t="s">
        <v>2785</v>
      </c>
      <c r="P698" s="27"/>
      <c r="Q698" s="27"/>
      <c r="R698" s="28" t="s">
        <v>2786</v>
      </c>
      <c r="S698" s="8" t="s">
        <v>2787</v>
      </c>
      <c r="T698" s="29" t="s">
        <v>2781</v>
      </c>
      <c r="U698" s="24"/>
    </row>
    <row r="699" hidden="1">
      <c r="A699" s="30">
        <v>42442.0</v>
      </c>
      <c r="B699" s="20" t="s">
        <v>2795</v>
      </c>
      <c r="C699" s="21">
        <v>0.075</v>
      </c>
      <c r="D699" s="21">
        <v>0.232</v>
      </c>
      <c r="E699" s="21">
        <v>0.07</v>
      </c>
      <c r="F699" s="22">
        <v>4.0</v>
      </c>
      <c r="G699" s="23"/>
      <c r="H699" s="32" t="s">
        <v>57</v>
      </c>
      <c r="I699" s="21" t="s">
        <v>2796</v>
      </c>
      <c r="J699" s="24" t="s">
        <v>2797</v>
      </c>
      <c r="K699" s="21" t="s">
        <v>2798</v>
      </c>
      <c r="L699" s="25" t="s">
        <v>2799</v>
      </c>
      <c r="M699" s="26" t="s">
        <v>28</v>
      </c>
      <c r="N699" s="24" t="s">
        <v>907</v>
      </c>
      <c r="O699" s="24" t="s">
        <v>2785</v>
      </c>
      <c r="P699" s="27"/>
      <c r="Q699" s="27"/>
      <c r="R699" s="28" t="s">
        <v>2800</v>
      </c>
      <c r="S699" s="8" t="s">
        <v>2801</v>
      </c>
      <c r="T699" s="29" t="s">
        <v>2796</v>
      </c>
      <c r="U699" s="24"/>
    </row>
    <row r="700" hidden="1">
      <c r="A700" s="30">
        <v>51710.0</v>
      </c>
      <c r="B700" s="20" t="s">
        <v>3474</v>
      </c>
      <c r="C700" s="21">
        <v>0.11</v>
      </c>
      <c r="D700" s="21">
        <v>0.09999999</v>
      </c>
      <c r="E700" s="21">
        <v>0.11</v>
      </c>
      <c r="F700" s="22">
        <v>3.0</v>
      </c>
      <c r="G700" s="23"/>
      <c r="H700" s="32" t="s">
        <v>57</v>
      </c>
      <c r="I700" s="21" t="s">
        <v>3466</v>
      </c>
      <c r="J700" s="24" t="s">
        <v>3475</v>
      </c>
      <c r="K700" s="21" t="s">
        <v>3476</v>
      </c>
      <c r="L700" s="25" t="s">
        <v>3477</v>
      </c>
      <c r="M700" s="26" t="s">
        <v>28</v>
      </c>
      <c r="N700" s="24" t="s">
        <v>2311</v>
      </c>
      <c r="O700" s="24" t="s">
        <v>3478</v>
      </c>
      <c r="P700" s="27"/>
      <c r="Q700" s="27"/>
      <c r="R700" s="28" t="s">
        <v>3479</v>
      </c>
      <c r="S700" s="8" t="s">
        <v>3480</v>
      </c>
      <c r="T700" s="29" t="s">
        <v>3466</v>
      </c>
      <c r="U700" s="24"/>
    </row>
    <row r="701" hidden="1">
      <c r="A701" s="30">
        <v>4136154.0</v>
      </c>
      <c r="B701" s="20" t="s">
        <v>4758</v>
      </c>
      <c r="C701" s="21">
        <v>0.06</v>
      </c>
      <c r="D701" s="21">
        <v>0.17</v>
      </c>
      <c r="E701" s="21">
        <v>0.06</v>
      </c>
      <c r="F701" s="22">
        <v>5.0</v>
      </c>
      <c r="G701" s="23"/>
      <c r="H701" s="32" t="s">
        <v>57</v>
      </c>
      <c r="I701" s="21" t="s">
        <v>4746</v>
      </c>
      <c r="J701" s="24" t="s">
        <v>4759</v>
      </c>
      <c r="K701" s="21" t="s">
        <v>4760</v>
      </c>
      <c r="L701" s="25" t="s">
        <v>4761</v>
      </c>
      <c r="M701" s="26" t="s">
        <v>28</v>
      </c>
      <c r="N701" s="24" t="s">
        <v>700</v>
      </c>
      <c r="O701" s="24" t="s">
        <v>1078</v>
      </c>
      <c r="P701" s="27"/>
      <c r="Q701" s="27"/>
      <c r="R701" s="28" t="s">
        <v>4762</v>
      </c>
      <c r="S701" s="8" t="s">
        <v>4763</v>
      </c>
      <c r="T701" s="29" t="s">
        <v>4746</v>
      </c>
      <c r="U701" s="24"/>
    </row>
    <row r="702" hidden="1">
      <c r="A702" s="30">
        <v>52304.0</v>
      </c>
      <c r="B702" s="20" t="s">
        <v>4752</v>
      </c>
      <c r="C702" s="21">
        <v>0.06</v>
      </c>
      <c r="D702" s="21">
        <v>0.17</v>
      </c>
      <c r="E702" s="21">
        <v>0.07</v>
      </c>
      <c r="F702" s="22">
        <v>4.0</v>
      </c>
      <c r="G702" s="23"/>
      <c r="H702" s="32" t="s">
        <v>57</v>
      </c>
      <c r="I702" s="21" t="s">
        <v>4746</v>
      </c>
      <c r="J702" s="24" t="s">
        <v>4753</v>
      </c>
      <c r="K702" s="21" t="s">
        <v>4754</v>
      </c>
      <c r="L702" s="25" t="s">
        <v>4755</v>
      </c>
      <c r="M702" s="26" t="s">
        <v>28</v>
      </c>
      <c r="N702" s="24" t="s">
        <v>700</v>
      </c>
      <c r="O702" s="24" t="s">
        <v>1078</v>
      </c>
      <c r="P702" s="27"/>
      <c r="Q702" s="27"/>
      <c r="R702" s="28" t="s">
        <v>4756</v>
      </c>
      <c r="S702" s="33" t="s">
        <v>4757</v>
      </c>
      <c r="T702" s="29" t="s">
        <v>4746</v>
      </c>
      <c r="U702" s="24"/>
    </row>
    <row r="703" hidden="1">
      <c r="A703" s="30">
        <v>4136130.0</v>
      </c>
      <c r="B703" s="20" t="s">
        <v>4745</v>
      </c>
      <c r="C703" s="21">
        <v>0.06</v>
      </c>
      <c r="D703" s="21">
        <v>0.17</v>
      </c>
      <c r="E703" s="21">
        <v>0.06</v>
      </c>
      <c r="F703" s="22">
        <v>5.0</v>
      </c>
      <c r="G703" s="23"/>
      <c r="H703" s="32" t="s">
        <v>57</v>
      </c>
      <c r="I703" s="21" t="s">
        <v>4746</v>
      </c>
      <c r="J703" s="24" t="s">
        <v>4747</v>
      </c>
      <c r="K703" s="21" t="s">
        <v>4748</v>
      </c>
      <c r="L703" s="25" t="s">
        <v>4749</v>
      </c>
      <c r="M703" s="26" t="s">
        <v>28</v>
      </c>
      <c r="N703" s="24" t="s">
        <v>700</v>
      </c>
      <c r="O703" s="24" t="s">
        <v>1078</v>
      </c>
      <c r="P703" s="27"/>
      <c r="Q703" s="27"/>
      <c r="R703" s="28" t="s">
        <v>4750</v>
      </c>
      <c r="S703" s="8" t="s">
        <v>4751</v>
      </c>
      <c r="T703" s="29" t="s">
        <v>4746</v>
      </c>
      <c r="U703" s="24"/>
    </row>
    <row r="704" hidden="1">
      <c r="A704" s="30">
        <v>48185.0</v>
      </c>
      <c r="B704" s="20" t="s">
        <v>4879</v>
      </c>
      <c r="C704" s="21">
        <v>0.09</v>
      </c>
      <c r="D704" s="21">
        <v>0.09</v>
      </c>
      <c r="E704" s="21">
        <v>0.08</v>
      </c>
      <c r="F704" s="22">
        <v>4.0</v>
      </c>
      <c r="G704" s="23"/>
      <c r="H704" s="32" t="s">
        <v>57</v>
      </c>
      <c r="I704" s="21" t="s">
        <v>4880</v>
      </c>
      <c r="J704" s="24" t="s">
        <v>4881</v>
      </c>
      <c r="K704" s="21" t="s">
        <v>4882</v>
      </c>
      <c r="L704" s="25" t="s">
        <v>4883</v>
      </c>
      <c r="M704" s="26" t="s">
        <v>28</v>
      </c>
      <c r="N704" s="24" t="s">
        <v>4279</v>
      </c>
      <c r="O704" s="24" t="s">
        <v>4280</v>
      </c>
      <c r="P704" s="27"/>
      <c r="Q704" s="27"/>
      <c r="R704" s="28" t="s">
        <v>4884</v>
      </c>
      <c r="S704" s="8" t="s">
        <v>4885</v>
      </c>
      <c r="T704" s="29" t="s">
        <v>4880</v>
      </c>
      <c r="U704" s="24"/>
    </row>
    <row r="705" hidden="1">
      <c r="A705" s="30">
        <v>4125400.0</v>
      </c>
      <c r="B705" s="20" t="s">
        <v>979</v>
      </c>
      <c r="C705" s="21">
        <v>0.083</v>
      </c>
      <c r="D705" s="21">
        <v>0.065</v>
      </c>
      <c r="E705" s="21">
        <v>0.06</v>
      </c>
      <c r="F705" s="22">
        <v>4.0</v>
      </c>
      <c r="G705" s="23"/>
      <c r="H705" s="32" t="s">
        <v>57</v>
      </c>
      <c r="I705" s="21" t="s">
        <v>971</v>
      </c>
      <c r="J705" s="24" t="s">
        <v>980</v>
      </c>
      <c r="K705" s="21" t="s">
        <v>981</v>
      </c>
      <c r="L705" s="25" t="s">
        <v>982</v>
      </c>
      <c r="M705" s="26" t="s">
        <v>37</v>
      </c>
      <c r="N705" s="24"/>
      <c r="O705" s="24"/>
      <c r="P705" s="27"/>
      <c r="Q705" s="27"/>
      <c r="R705" s="31"/>
      <c r="S705" s="33"/>
      <c r="T705" s="29"/>
      <c r="U705" s="24"/>
    </row>
    <row r="706" hidden="1">
      <c r="A706" s="30">
        <v>7.29000664451E12</v>
      </c>
      <c r="B706" s="20" t="s">
        <v>4652</v>
      </c>
      <c r="C706" s="21">
        <v>0.066</v>
      </c>
      <c r="D706" s="21">
        <v>0.196</v>
      </c>
      <c r="E706" s="21">
        <v>0.066</v>
      </c>
      <c r="F706" s="22">
        <v>5.0</v>
      </c>
      <c r="G706" s="23"/>
      <c r="H706" s="24" t="s">
        <v>4653</v>
      </c>
      <c r="I706" s="21" t="s">
        <v>4654</v>
      </c>
      <c r="J706" s="24" t="s">
        <v>4655</v>
      </c>
      <c r="K706" s="21" t="s">
        <v>4656</v>
      </c>
      <c r="L706" s="25" t="s">
        <v>4657</v>
      </c>
      <c r="M706" s="26" t="s">
        <v>37</v>
      </c>
      <c r="N706" s="24" t="s">
        <v>718</v>
      </c>
      <c r="O706" s="24" t="s">
        <v>719</v>
      </c>
      <c r="P706" s="27"/>
      <c r="Q706" s="27"/>
      <c r="R706" s="31" t="s">
        <v>4658</v>
      </c>
      <c r="S706" s="33" t="s">
        <v>4659</v>
      </c>
      <c r="T706" s="29" t="e">
        <v>#N/A</v>
      </c>
      <c r="U706" s="24"/>
    </row>
    <row r="707" hidden="1">
      <c r="A707" s="30">
        <v>7.290006644527E12</v>
      </c>
      <c r="B707" s="20" t="s">
        <v>4672</v>
      </c>
      <c r="C707" s="21">
        <v>0.066</v>
      </c>
      <c r="D707" s="21">
        <v>0.196</v>
      </c>
      <c r="E707" s="21">
        <v>0.066</v>
      </c>
      <c r="F707" s="22">
        <v>5.0</v>
      </c>
      <c r="G707" s="23"/>
      <c r="H707" s="24" t="s">
        <v>4653</v>
      </c>
      <c r="I707" s="21" t="s">
        <v>4654</v>
      </c>
      <c r="J707" s="24" t="s">
        <v>4673</v>
      </c>
      <c r="K707" s="21" t="s">
        <v>4674</v>
      </c>
      <c r="L707" s="25" t="s">
        <v>4675</v>
      </c>
      <c r="M707" s="26" t="s">
        <v>37</v>
      </c>
      <c r="N707" s="24" t="s">
        <v>718</v>
      </c>
      <c r="O707" s="24" t="s">
        <v>719</v>
      </c>
      <c r="P707" s="27"/>
      <c r="Q707" s="27"/>
      <c r="R707" s="31" t="s">
        <v>4676</v>
      </c>
      <c r="S707" s="33" t="s">
        <v>4677</v>
      </c>
      <c r="T707" s="29" t="e">
        <v>#N/A</v>
      </c>
      <c r="U707" s="24"/>
    </row>
    <row r="708" hidden="1">
      <c r="A708" s="30">
        <v>7.29000556468E12</v>
      </c>
      <c r="B708" s="20" t="s">
        <v>4660</v>
      </c>
      <c r="C708" s="21">
        <v>0.09</v>
      </c>
      <c r="D708" s="21">
        <v>0.316</v>
      </c>
      <c r="E708" s="21">
        <v>0.09</v>
      </c>
      <c r="F708" s="22">
        <v>3.0</v>
      </c>
      <c r="G708" s="23"/>
      <c r="H708" s="24" t="s">
        <v>4653</v>
      </c>
      <c r="I708" s="21" t="s">
        <v>4654</v>
      </c>
      <c r="J708" s="24" t="s">
        <v>4661</v>
      </c>
      <c r="K708" s="21" t="s">
        <v>4662</v>
      </c>
      <c r="L708" s="25" t="s">
        <v>4663</v>
      </c>
      <c r="M708" s="26" t="s">
        <v>37</v>
      </c>
      <c r="N708" s="24" t="s">
        <v>718</v>
      </c>
      <c r="O708" s="24" t="s">
        <v>1526</v>
      </c>
      <c r="P708" s="27"/>
      <c r="Q708" s="27"/>
      <c r="R708" s="31" t="s">
        <v>4664</v>
      </c>
      <c r="S708" s="33" t="s">
        <v>4665</v>
      </c>
      <c r="T708" s="29" t="e">
        <v>#N/A</v>
      </c>
      <c r="U708" s="24"/>
    </row>
    <row r="709" hidden="1">
      <c r="A709" s="30">
        <v>7.290002663522E12</v>
      </c>
      <c r="B709" s="20" t="s">
        <v>4666</v>
      </c>
      <c r="C709" s="21">
        <v>0.09</v>
      </c>
      <c r="D709" s="21">
        <v>0.316</v>
      </c>
      <c r="E709" s="21">
        <v>0.09</v>
      </c>
      <c r="F709" s="22">
        <v>3.0</v>
      </c>
      <c r="G709" s="23"/>
      <c r="H709" s="24" t="s">
        <v>4653</v>
      </c>
      <c r="I709" s="21" t="s">
        <v>4654</v>
      </c>
      <c r="J709" s="24" t="s">
        <v>4667</v>
      </c>
      <c r="K709" s="21" t="s">
        <v>4668</v>
      </c>
      <c r="L709" s="25" t="s">
        <v>4669</v>
      </c>
      <c r="M709" s="26" t="s">
        <v>37</v>
      </c>
      <c r="N709" s="24" t="s">
        <v>718</v>
      </c>
      <c r="O709" s="24" t="s">
        <v>1526</v>
      </c>
      <c r="P709" s="27"/>
      <c r="Q709" s="27"/>
      <c r="R709" s="31" t="s">
        <v>4670</v>
      </c>
      <c r="S709" s="33" t="s">
        <v>4671</v>
      </c>
      <c r="T709" s="29" t="e">
        <v>#N/A</v>
      </c>
      <c r="U709" s="24"/>
    </row>
    <row r="710" hidden="1">
      <c r="A710" s="30">
        <v>7.290106662025E12</v>
      </c>
      <c r="B710" s="20" t="s">
        <v>4572</v>
      </c>
      <c r="C710" s="21">
        <v>0.133</v>
      </c>
      <c r="D710" s="21">
        <v>0.18</v>
      </c>
      <c r="E710" s="21">
        <v>0.06</v>
      </c>
      <c r="F710" s="22">
        <v>5.0</v>
      </c>
      <c r="G710" s="23"/>
      <c r="H710" s="24" t="s">
        <v>4561</v>
      </c>
      <c r="I710" s="21" t="s">
        <v>4562</v>
      </c>
      <c r="J710" s="24" t="s">
        <v>4573</v>
      </c>
      <c r="K710" s="21" t="s">
        <v>4574</v>
      </c>
      <c r="L710" s="25" t="s">
        <v>4575</v>
      </c>
      <c r="M710" s="26" t="s">
        <v>37</v>
      </c>
      <c r="N710" s="24" t="s">
        <v>109</v>
      </c>
      <c r="O710" s="24" t="s">
        <v>3867</v>
      </c>
      <c r="P710" s="27"/>
      <c r="Q710" s="27"/>
      <c r="R710" s="28" t="s">
        <v>4576</v>
      </c>
      <c r="S710" s="8" t="s">
        <v>4577</v>
      </c>
      <c r="T710" s="29" t="e">
        <v>#N/A</v>
      </c>
      <c r="U710" s="21" t="s">
        <v>113</v>
      </c>
    </row>
    <row r="711" hidden="1">
      <c r="A711" s="30">
        <v>7.29010472253E12</v>
      </c>
      <c r="B711" s="20" t="s">
        <v>4560</v>
      </c>
      <c r="C711" s="21">
        <v>0.1675</v>
      </c>
      <c r="D711" s="21">
        <v>0.3</v>
      </c>
      <c r="E711" s="21">
        <v>0.06</v>
      </c>
      <c r="F711" s="22">
        <v>5.0</v>
      </c>
      <c r="G711" s="23"/>
      <c r="H711" s="24" t="s">
        <v>4561</v>
      </c>
      <c r="I711" s="21" t="s">
        <v>4562</v>
      </c>
      <c r="J711" s="24" t="s">
        <v>4563</v>
      </c>
      <c r="K711" s="21" t="s">
        <v>4564</v>
      </c>
      <c r="L711" s="25" t="s">
        <v>4565</v>
      </c>
      <c r="M711" s="26" t="s">
        <v>28</v>
      </c>
      <c r="N711" s="24" t="s">
        <v>109</v>
      </c>
      <c r="O711" s="24" t="s">
        <v>3867</v>
      </c>
      <c r="P711" s="27"/>
      <c r="Q711" s="27"/>
      <c r="R711" s="28" t="s">
        <v>4566</v>
      </c>
      <c r="S711" s="8" t="s">
        <v>4565</v>
      </c>
      <c r="T711" s="29" t="s">
        <v>4562</v>
      </c>
      <c r="U711" s="21" t="s">
        <v>113</v>
      </c>
    </row>
    <row r="712" hidden="1">
      <c r="A712" s="30">
        <v>7.290112342195E12</v>
      </c>
      <c r="B712" s="20" t="s">
        <v>4583</v>
      </c>
      <c r="C712" s="21">
        <v>0.1675</v>
      </c>
      <c r="D712" s="21">
        <v>0.3</v>
      </c>
      <c r="E712" s="21">
        <v>0.06</v>
      </c>
      <c r="F712" s="22">
        <v>5.0</v>
      </c>
      <c r="G712" s="23"/>
      <c r="H712" s="24" t="s">
        <v>4561</v>
      </c>
      <c r="I712" s="21" t="s">
        <v>4562</v>
      </c>
      <c r="J712" s="24" t="s">
        <v>4584</v>
      </c>
      <c r="K712" s="21" t="s">
        <v>4585</v>
      </c>
      <c r="L712" s="25" t="s">
        <v>4586</v>
      </c>
      <c r="M712" s="26" t="s">
        <v>28</v>
      </c>
      <c r="N712" s="24" t="s">
        <v>109</v>
      </c>
      <c r="O712" s="24" t="s">
        <v>3867</v>
      </c>
      <c r="P712" s="27"/>
      <c r="Q712" s="27"/>
      <c r="R712" s="31" t="s">
        <v>4587</v>
      </c>
      <c r="S712" s="33" t="s">
        <v>4586</v>
      </c>
      <c r="T712" s="29" t="s">
        <v>4562</v>
      </c>
      <c r="U712" s="21" t="s">
        <v>113</v>
      </c>
    </row>
    <row r="713" hidden="1">
      <c r="A713" s="30">
        <v>7.290107942355E12</v>
      </c>
      <c r="B713" s="20" t="s">
        <v>4588</v>
      </c>
      <c r="C713" s="21">
        <v>0.14</v>
      </c>
      <c r="D713" s="21">
        <v>0.175</v>
      </c>
      <c r="E713" s="21">
        <v>0.06</v>
      </c>
      <c r="F713" s="22">
        <v>5.0</v>
      </c>
      <c r="G713" s="23"/>
      <c r="H713" s="24" t="s">
        <v>4561</v>
      </c>
      <c r="I713" s="21" t="s">
        <v>4562</v>
      </c>
      <c r="J713" s="24" t="s">
        <v>4589</v>
      </c>
      <c r="K713" s="21" t="s">
        <v>4590</v>
      </c>
      <c r="L713" s="25" t="s">
        <v>4591</v>
      </c>
      <c r="M713" s="26" t="s">
        <v>37</v>
      </c>
      <c r="N713" s="24" t="s">
        <v>109</v>
      </c>
      <c r="O713" s="24" t="s">
        <v>3867</v>
      </c>
      <c r="P713" s="27"/>
      <c r="Q713" s="27"/>
      <c r="R713" s="28" t="s">
        <v>4592</v>
      </c>
      <c r="S713" s="8" t="s">
        <v>4593</v>
      </c>
      <c r="T713" s="29" t="e">
        <v>#N/A</v>
      </c>
      <c r="U713" s="21" t="s">
        <v>113</v>
      </c>
    </row>
    <row r="714" hidden="1">
      <c r="A714" s="30">
        <v>7.290106524439E12</v>
      </c>
      <c r="B714" s="20" t="s">
        <v>4578</v>
      </c>
      <c r="C714" s="21">
        <v>0.133</v>
      </c>
      <c r="D714" s="21">
        <v>0.18</v>
      </c>
      <c r="E714" s="21">
        <v>0.06</v>
      </c>
      <c r="F714" s="22">
        <v>5.0</v>
      </c>
      <c r="G714" s="23"/>
      <c r="H714" s="24" t="s">
        <v>4561</v>
      </c>
      <c r="I714" s="21" t="s">
        <v>4562</v>
      </c>
      <c r="J714" s="24" t="s">
        <v>4579</v>
      </c>
      <c r="K714" s="21" t="s">
        <v>4580</v>
      </c>
      <c r="L714" s="25" t="s">
        <v>4581</v>
      </c>
      <c r="M714" s="26" t="s">
        <v>28</v>
      </c>
      <c r="N714" s="24" t="s">
        <v>109</v>
      </c>
      <c r="O714" s="24" t="s">
        <v>3867</v>
      </c>
      <c r="P714" s="27"/>
      <c r="Q714" s="27"/>
      <c r="R714" s="28" t="s">
        <v>4582</v>
      </c>
      <c r="S714" s="8" t="s">
        <v>4581</v>
      </c>
      <c r="T714" s="29" t="s">
        <v>4562</v>
      </c>
      <c r="U714" s="21" t="s">
        <v>113</v>
      </c>
    </row>
    <row r="715" hidden="1">
      <c r="A715" s="30">
        <v>7.29010203033E12</v>
      </c>
      <c r="B715" s="20" t="s">
        <v>4567</v>
      </c>
      <c r="C715" s="21">
        <v>0.1675</v>
      </c>
      <c r="D715" s="21">
        <v>0.3</v>
      </c>
      <c r="E715" s="21">
        <v>0.06</v>
      </c>
      <c r="F715" s="22">
        <v>5.0</v>
      </c>
      <c r="G715" s="23"/>
      <c r="H715" s="24" t="s">
        <v>4561</v>
      </c>
      <c r="I715" s="21" t="s">
        <v>4562</v>
      </c>
      <c r="J715" s="24" t="s">
        <v>4568</v>
      </c>
      <c r="K715" s="21" t="s">
        <v>4569</v>
      </c>
      <c r="L715" s="25" t="s">
        <v>4570</v>
      </c>
      <c r="M715" s="26" t="s">
        <v>28</v>
      </c>
      <c r="N715" s="24" t="s">
        <v>109</v>
      </c>
      <c r="O715" s="24" t="s">
        <v>3867</v>
      </c>
      <c r="P715" s="27"/>
      <c r="Q715" s="27"/>
      <c r="R715" s="28" t="s">
        <v>4571</v>
      </c>
      <c r="S715" s="8" t="s">
        <v>4570</v>
      </c>
      <c r="T715" s="29" t="s">
        <v>4562</v>
      </c>
      <c r="U715" s="21" t="s">
        <v>113</v>
      </c>
    </row>
    <row r="716" hidden="1">
      <c r="A716" s="30">
        <v>7.290008753111E12</v>
      </c>
      <c r="B716" s="20" t="s">
        <v>4594</v>
      </c>
      <c r="C716" s="21">
        <v>0.133</v>
      </c>
      <c r="D716" s="21">
        <v>0.18</v>
      </c>
      <c r="E716" s="21">
        <v>0.06</v>
      </c>
      <c r="F716" s="22">
        <v>5.0</v>
      </c>
      <c r="G716" s="23"/>
      <c r="H716" s="24" t="s">
        <v>4561</v>
      </c>
      <c r="I716" s="21" t="s">
        <v>4562</v>
      </c>
      <c r="J716" s="24" t="s">
        <v>4595</v>
      </c>
      <c r="K716" s="21" t="s">
        <v>4596</v>
      </c>
      <c r="L716" s="25" t="s">
        <v>4597</v>
      </c>
      <c r="M716" s="26" t="s">
        <v>37</v>
      </c>
      <c r="N716" s="24" t="s">
        <v>109</v>
      </c>
      <c r="O716" s="24" t="s">
        <v>3867</v>
      </c>
      <c r="P716" s="27"/>
      <c r="Q716" s="27"/>
      <c r="R716" s="28" t="s">
        <v>4598</v>
      </c>
      <c r="S716" s="8" t="s">
        <v>4599</v>
      </c>
      <c r="T716" s="29" t="e">
        <v>#N/A</v>
      </c>
      <c r="U716" s="21" t="s">
        <v>113</v>
      </c>
    </row>
    <row r="717" hidden="1">
      <c r="A717" s="30">
        <v>7.290112359018E12</v>
      </c>
      <c r="B717" s="20" t="s">
        <v>4605</v>
      </c>
      <c r="C717" s="21">
        <v>0.13</v>
      </c>
      <c r="D717" s="21">
        <v>0.18</v>
      </c>
      <c r="E717" s="21">
        <v>0.043</v>
      </c>
      <c r="F717" s="22">
        <v>7.0</v>
      </c>
      <c r="G717" s="23"/>
      <c r="H717" s="24" t="s">
        <v>4561</v>
      </c>
      <c r="I717" s="21" t="s">
        <v>4562</v>
      </c>
      <c r="J717" s="24" t="s">
        <v>4606</v>
      </c>
      <c r="K717" s="21" t="s">
        <v>4607</v>
      </c>
      <c r="L717" s="25" t="s">
        <v>4608</v>
      </c>
      <c r="M717" s="26" t="s">
        <v>28</v>
      </c>
      <c r="N717" s="24" t="s">
        <v>109</v>
      </c>
      <c r="O717" s="24" t="s">
        <v>3867</v>
      </c>
      <c r="P717" s="27"/>
      <c r="Q717" s="27"/>
      <c r="R717" s="28" t="s">
        <v>4609</v>
      </c>
      <c r="S717" s="8" t="s">
        <v>4608</v>
      </c>
      <c r="T717" s="29" t="s">
        <v>4562</v>
      </c>
      <c r="U717" s="21" t="s">
        <v>113</v>
      </c>
    </row>
    <row r="718" hidden="1">
      <c r="A718" s="30">
        <v>7.290110561918E12</v>
      </c>
      <c r="B718" s="20" t="s">
        <v>4600</v>
      </c>
      <c r="C718" s="21">
        <v>0.13</v>
      </c>
      <c r="D718" s="21">
        <v>0.18</v>
      </c>
      <c r="E718" s="21">
        <v>0.05</v>
      </c>
      <c r="F718" s="22">
        <v>6.0</v>
      </c>
      <c r="G718" s="23"/>
      <c r="H718" s="24" t="s">
        <v>4561</v>
      </c>
      <c r="I718" s="21" t="s">
        <v>4562</v>
      </c>
      <c r="J718" s="24" t="s">
        <v>4601</v>
      </c>
      <c r="K718" s="21" t="s">
        <v>4602</v>
      </c>
      <c r="L718" s="25" t="s">
        <v>4603</v>
      </c>
      <c r="M718" s="26" t="s">
        <v>28</v>
      </c>
      <c r="N718" s="24" t="s">
        <v>109</v>
      </c>
      <c r="O718" s="24" t="s">
        <v>3867</v>
      </c>
      <c r="P718" s="27"/>
      <c r="Q718" s="27"/>
      <c r="R718" s="28" t="s">
        <v>4604</v>
      </c>
      <c r="S718" s="8" t="s">
        <v>4603</v>
      </c>
      <c r="T718" s="29" t="s">
        <v>4562</v>
      </c>
      <c r="U718" s="21" t="s">
        <v>113</v>
      </c>
    </row>
    <row r="719" hidden="1">
      <c r="A719" s="30">
        <v>7.290000178721E12</v>
      </c>
      <c r="B719" s="20" t="s">
        <v>4622</v>
      </c>
      <c r="C719" s="21">
        <v>0.1675</v>
      </c>
      <c r="D719" s="21">
        <v>0.3</v>
      </c>
      <c r="E719" s="21">
        <v>0.06</v>
      </c>
      <c r="F719" s="22">
        <v>5.0</v>
      </c>
      <c r="G719" s="23"/>
      <c r="H719" s="24" t="s">
        <v>4561</v>
      </c>
      <c r="I719" s="21" t="s">
        <v>4562</v>
      </c>
      <c r="J719" s="24" t="s">
        <v>4623</v>
      </c>
      <c r="K719" s="21" t="s">
        <v>4624</v>
      </c>
      <c r="L719" s="25" t="s">
        <v>4625</v>
      </c>
      <c r="M719" s="26" t="s">
        <v>37</v>
      </c>
      <c r="N719" s="24" t="s">
        <v>109</v>
      </c>
      <c r="O719" s="24" t="s">
        <v>3867</v>
      </c>
      <c r="P719" s="27"/>
      <c r="Q719" s="27"/>
      <c r="R719" s="28" t="s">
        <v>4626</v>
      </c>
      <c r="S719" s="8" t="s">
        <v>4627</v>
      </c>
      <c r="T719" s="29" t="e">
        <v>#N/A</v>
      </c>
      <c r="U719" s="21" t="s">
        <v>113</v>
      </c>
    </row>
    <row r="720" hidden="1">
      <c r="A720" s="30">
        <v>7.290000178707E12</v>
      </c>
      <c r="B720" s="20" t="s">
        <v>4628</v>
      </c>
      <c r="C720" s="21">
        <v>0.133</v>
      </c>
      <c r="D720" s="21">
        <v>0.18</v>
      </c>
      <c r="E720" s="21">
        <v>0.06</v>
      </c>
      <c r="F720" s="22">
        <v>5.0</v>
      </c>
      <c r="G720" s="23"/>
      <c r="H720" s="24" t="s">
        <v>4561</v>
      </c>
      <c r="I720" s="21" t="s">
        <v>4562</v>
      </c>
      <c r="J720" s="24" t="s">
        <v>4629</v>
      </c>
      <c r="K720" s="21" t="s">
        <v>4630</v>
      </c>
      <c r="L720" s="25" t="s">
        <v>4631</v>
      </c>
      <c r="M720" s="26" t="s">
        <v>37</v>
      </c>
      <c r="N720" s="24" t="s">
        <v>109</v>
      </c>
      <c r="O720" s="24" t="s">
        <v>3867</v>
      </c>
      <c r="P720" s="27"/>
      <c r="Q720" s="27"/>
      <c r="R720" s="28" t="s">
        <v>4632</v>
      </c>
      <c r="S720" s="8" t="s">
        <v>4633</v>
      </c>
      <c r="T720" s="29" t="e">
        <v>#N/A</v>
      </c>
      <c r="U720" s="21" t="s">
        <v>113</v>
      </c>
    </row>
    <row r="721" hidden="1">
      <c r="A721" s="30">
        <v>7.29011567699E12</v>
      </c>
      <c r="B721" s="20" t="s">
        <v>4646</v>
      </c>
      <c r="C721" s="21">
        <v>0.14</v>
      </c>
      <c r="D721" s="21">
        <v>0.175</v>
      </c>
      <c r="E721" s="21">
        <v>0.045</v>
      </c>
      <c r="F721" s="22">
        <v>7.0</v>
      </c>
      <c r="G721" s="23"/>
      <c r="H721" s="24" t="s">
        <v>4561</v>
      </c>
      <c r="I721" s="21" t="s">
        <v>4562</v>
      </c>
      <c r="J721" s="24" t="s">
        <v>4647</v>
      </c>
      <c r="K721" s="21" t="s">
        <v>4648</v>
      </c>
      <c r="L721" s="25" t="s">
        <v>4649</v>
      </c>
      <c r="M721" s="26" t="s">
        <v>37</v>
      </c>
      <c r="N721" s="24" t="s">
        <v>109</v>
      </c>
      <c r="O721" s="24" t="s">
        <v>3867</v>
      </c>
      <c r="P721" s="27"/>
      <c r="Q721" s="27"/>
      <c r="R721" s="28" t="s">
        <v>4650</v>
      </c>
      <c r="S721" s="8" t="s">
        <v>4651</v>
      </c>
      <c r="T721" s="29" t="e">
        <v>#N/A</v>
      </c>
      <c r="U721" s="21" t="s">
        <v>113</v>
      </c>
    </row>
    <row r="722" hidden="1">
      <c r="A722" s="30">
        <v>7.290008752244E12</v>
      </c>
      <c r="B722" s="20" t="s">
        <v>4616</v>
      </c>
      <c r="C722" s="21">
        <v>0.133</v>
      </c>
      <c r="D722" s="21">
        <v>0.18</v>
      </c>
      <c r="E722" s="21">
        <v>0.06</v>
      </c>
      <c r="F722" s="22">
        <v>5.0</v>
      </c>
      <c r="G722" s="23"/>
      <c r="H722" s="24" t="s">
        <v>4561</v>
      </c>
      <c r="I722" s="21" t="s">
        <v>4562</v>
      </c>
      <c r="J722" s="24" t="s">
        <v>4617</v>
      </c>
      <c r="K722" s="21" t="s">
        <v>4618</v>
      </c>
      <c r="L722" s="25" t="s">
        <v>4619</v>
      </c>
      <c r="M722" s="26" t="s">
        <v>37</v>
      </c>
      <c r="N722" s="24" t="s">
        <v>109</v>
      </c>
      <c r="O722" s="24" t="s">
        <v>3867</v>
      </c>
      <c r="P722" s="27"/>
      <c r="Q722" s="27"/>
      <c r="R722" s="28" t="s">
        <v>4620</v>
      </c>
      <c r="S722" s="8" t="s">
        <v>4621</v>
      </c>
      <c r="T722" s="29" t="e">
        <v>#N/A</v>
      </c>
      <c r="U722" s="21" t="s">
        <v>113</v>
      </c>
    </row>
    <row r="723" hidden="1">
      <c r="A723" s="30">
        <v>7.290008747547E12</v>
      </c>
      <c r="B723" s="20" t="s">
        <v>4634</v>
      </c>
      <c r="C723" s="21">
        <v>0.1675</v>
      </c>
      <c r="D723" s="21">
        <v>0.3</v>
      </c>
      <c r="E723" s="21">
        <v>0.06</v>
      </c>
      <c r="F723" s="22">
        <v>5.0</v>
      </c>
      <c r="G723" s="23"/>
      <c r="H723" s="24" t="s">
        <v>4561</v>
      </c>
      <c r="I723" s="21" t="s">
        <v>4562</v>
      </c>
      <c r="J723" s="24" t="s">
        <v>4635</v>
      </c>
      <c r="K723" s="21" t="s">
        <v>4636</v>
      </c>
      <c r="L723" s="25" t="s">
        <v>4637</v>
      </c>
      <c r="M723" s="26" t="s">
        <v>37</v>
      </c>
      <c r="N723" s="24" t="s">
        <v>109</v>
      </c>
      <c r="O723" s="24" t="s">
        <v>3867</v>
      </c>
      <c r="P723" s="27"/>
      <c r="Q723" s="27"/>
      <c r="R723" s="28" t="s">
        <v>4638</v>
      </c>
      <c r="S723" s="8" t="s">
        <v>4639</v>
      </c>
      <c r="T723" s="29" t="e">
        <v>#N/A</v>
      </c>
      <c r="U723" s="21" t="s">
        <v>113</v>
      </c>
    </row>
    <row r="724" hidden="1">
      <c r="A724" s="30">
        <v>7.290008745239E12</v>
      </c>
      <c r="B724" s="20" t="s">
        <v>4640</v>
      </c>
      <c r="C724" s="21">
        <v>0.133</v>
      </c>
      <c r="D724" s="21">
        <v>0.18</v>
      </c>
      <c r="E724" s="21">
        <v>0.06</v>
      </c>
      <c r="F724" s="22">
        <v>5.0</v>
      </c>
      <c r="G724" s="23"/>
      <c r="H724" s="24" t="s">
        <v>4561</v>
      </c>
      <c r="I724" s="21" t="s">
        <v>4562</v>
      </c>
      <c r="J724" s="24" t="s">
        <v>4641</v>
      </c>
      <c r="K724" s="21" t="s">
        <v>4642</v>
      </c>
      <c r="L724" s="25" t="s">
        <v>4643</v>
      </c>
      <c r="M724" s="26" t="s">
        <v>37</v>
      </c>
      <c r="N724" s="24" t="s">
        <v>109</v>
      </c>
      <c r="O724" s="24" t="s">
        <v>3867</v>
      </c>
      <c r="P724" s="27"/>
      <c r="Q724" s="27"/>
      <c r="R724" s="28" t="s">
        <v>4644</v>
      </c>
      <c r="S724" s="8" t="s">
        <v>4645</v>
      </c>
      <c r="T724" s="29" t="e">
        <v>#N/A</v>
      </c>
      <c r="U724" s="21" t="s">
        <v>113</v>
      </c>
    </row>
    <row r="725" hidden="1">
      <c r="A725" s="30">
        <v>7.290005200786E12</v>
      </c>
      <c r="B725" s="20" t="s">
        <v>4610</v>
      </c>
      <c r="C725" s="21">
        <v>0.133</v>
      </c>
      <c r="D725" s="21">
        <v>0.18</v>
      </c>
      <c r="E725" s="21">
        <v>0.06</v>
      </c>
      <c r="F725" s="22">
        <v>5.0</v>
      </c>
      <c r="G725" s="23"/>
      <c r="H725" s="24" t="s">
        <v>4561</v>
      </c>
      <c r="I725" s="21" t="s">
        <v>4562</v>
      </c>
      <c r="J725" s="24" t="s">
        <v>4611</v>
      </c>
      <c r="K725" s="21" t="s">
        <v>4612</v>
      </c>
      <c r="L725" s="25" t="s">
        <v>4613</v>
      </c>
      <c r="M725" s="26" t="s">
        <v>37</v>
      </c>
      <c r="N725" s="24" t="s">
        <v>109</v>
      </c>
      <c r="O725" s="24" t="s">
        <v>3867</v>
      </c>
      <c r="P725" s="27"/>
      <c r="Q725" s="27"/>
      <c r="R725" s="28" t="s">
        <v>4614</v>
      </c>
      <c r="S725" s="8" t="s">
        <v>4615</v>
      </c>
      <c r="T725" s="29" t="e">
        <v>#N/A</v>
      </c>
      <c r="U725" s="21" t="s">
        <v>113</v>
      </c>
    </row>
  </sheetData>
  <autoFilter ref="$A$1:$U$725">
    <filterColumn colId="20">
      <filters>
        <filter val="Nuts and seeds"/>
      </filters>
    </filterColumn>
  </autoFilter>
  <customSheetViews>
    <customSheetView guid="{903C50A8-AD16-42CC-B57C-ACA124F0D9CD}" filter="1" showAutoFilter="1">
      <autoFilter ref="$A$1:$T$725">
        <filterColumn colId="11">
          <colorFilter cellColor="0" dxfId="1"/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21.0"/>
    <col customWidth="1" min="3" max="4" width="31.86"/>
    <col customWidth="1" min="5" max="5" width="11.57"/>
    <col customWidth="1" min="6" max="6" width="11.43"/>
    <col customWidth="1" min="7" max="7" width="12.29"/>
    <col customWidth="1" min="8" max="8" width="12.0"/>
    <col customWidth="1" min="9" max="9" width="18.57"/>
    <col customWidth="1" min="10" max="10" width="18.0"/>
    <col customWidth="1" min="11" max="11" width="22.29"/>
    <col customWidth="1" min="12" max="12" width="11.29"/>
  </cols>
  <sheetData>
    <row r="1">
      <c r="A1" s="71" t="s">
        <v>0</v>
      </c>
      <c r="B1" s="70" t="s">
        <v>14</v>
      </c>
      <c r="C1" s="66" t="s">
        <v>11</v>
      </c>
      <c r="D1" s="66" t="s">
        <v>11</v>
      </c>
      <c r="E1" s="66" t="s">
        <v>4</v>
      </c>
      <c r="F1" s="66" t="s">
        <v>2</v>
      </c>
      <c r="G1" s="66" t="s">
        <v>3</v>
      </c>
      <c r="H1" s="67" t="s">
        <v>5266</v>
      </c>
      <c r="I1" s="70" t="s">
        <v>16</v>
      </c>
      <c r="J1" s="66" t="s">
        <v>6</v>
      </c>
      <c r="K1" s="66" t="s">
        <v>7</v>
      </c>
      <c r="L1" s="70" t="s">
        <v>17</v>
      </c>
    </row>
    <row r="2">
      <c r="A2" s="72" t="s">
        <v>5267</v>
      </c>
      <c r="B2" s="24" t="s">
        <v>340</v>
      </c>
      <c r="C2" s="21" t="s">
        <v>4925</v>
      </c>
      <c r="D2" s="21" t="s">
        <v>4925</v>
      </c>
      <c r="E2" s="21">
        <v>0.053</v>
      </c>
      <c r="F2" s="21">
        <v>0.053</v>
      </c>
      <c r="G2" s="21">
        <v>0.134</v>
      </c>
      <c r="H2" s="21"/>
      <c r="I2" s="27"/>
      <c r="J2" s="23"/>
      <c r="K2" s="20" t="s">
        <v>4923</v>
      </c>
      <c r="L2" s="27"/>
    </row>
    <row r="3">
      <c r="A3" s="73" t="s">
        <v>5268</v>
      </c>
      <c r="B3" s="24" t="s">
        <v>340</v>
      </c>
      <c r="C3" s="21" t="s">
        <v>4950</v>
      </c>
      <c r="D3" s="21" t="s">
        <v>4950</v>
      </c>
      <c r="E3" s="21">
        <v>0.053</v>
      </c>
      <c r="F3" s="21">
        <v>0.053</v>
      </c>
      <c r="G3" s="21">
        <v>0.134</v>
      </c>
      <c r="H3" s="21"/>
      <c r="I3" s="27"/>
      <c r="J3" s="23"/>
      <c r="K3" s="20" t="s">
        <v>4930</v>
      </c>
      <c r="L3" s="27"/>
    </row>
    <row r="4">
      <c r="A4" s="73" t="s">
        <v>5269</v>
      </c>
      <c r="B4" s="24" t="s">
        <v>340</v>
      </c>
      <c r="C4" s="21" t="s">
        <v>4938</v>
      </c>
      <c r="D4" s="21" t="s">
        <v>4938</v>
      </c>
      <c r="E4" s="21">
        <v>0.053</v>
      </c>
      <c r="F4" s="21">
        <v>0.053</v>
      </c>
      <c r="G4" s="21">
        <v>0.134</v>
      </c>
      <c r="H4" s="21"/>
      <c r="I4" s="27"/>
      <c r="J4" s="23"/>
      <c r="K4" s="20" t="s">
        <v>4930</v>
      </c>
      <c r="L4" s="27"/>
    </row>
    <row r="5">
      <c r="A5" s="73" t="s">
        <v>5270</v>
      </c>
      <c r="B5" s="24" t="s">
        <v>340</v>
      </c>
      <c r="C5" s="21" t="s">
        <v>4944</v>
      </c>
      <c r="D5" s="21" t="s">
        <v>4944</v>
      </c>
      <c r="E5" s="21">
        <v>0.053</v>
      </c>
      <c r="F5" s="21">
        <v>0.053</v>
      </c>
      <c r="G5" s="21">
        <v>0.134</v>
      </c>
      <c r="H5" s="21"/>
      <c r="I5" s="27"/>
      <c r="J5" s="23"/>
      <c r="K5" s="20" t="s">
        <v>4930</v>
      </c>
      <c r="L5" s="27"/>
    </row>
    <row r="6">
      <c r="A6" s="73" t="s">
        <v>5271</v>
      </c>
      <c r="B6" s="24" t="s">
        <v>340</v>
      </c>
      <c r="C6" s="21" t="s">
        <v>4932</v>
      </c>
      <c r="D6" s="21" t="s">
        <v>4932</v>
      </c>
      <c r="E6" s="21">
        <v>0.053</v>
      </c>
      <c r="F6" s="21">
        <v>0.053</v>
      </c>
      <c r="G6" s="21">
        <v>0.134</v>
      </c>
      <c r="H6" s="21"/>
      <c r="I6" s="27"/>
      <c r="J6" s="23"/>
      <c r="K6" s="20" t="s">
        <v>4930</v>
      </c>
      <c r="L6" s="27"/>
    </row>
    <row r="7">
      <c r="A7" s="73" t="s">
        <v>5272</v>
      </c>
      <c r="B7" s="24" t="s">
        <v>501</v>
      </c>
      <c r="C7" s="21" t="s">
        <v>1159</v>
      </c>
      <c r="D7" s="21" t="s">
        <v>1159</v>
      </c>
      <c r="E7" s="21">
        <v>0.02</v>
      </c>
      <c r="F7" s="21">
        <v>0.13</v>
      </c>
      <c r="G7" s="21">
        <v>0.035</v>
      </c>
      <c r="H7" s="21"/>
      <c r="I7" s="27"/>
      <c r="J7" s="23"/>
      <c r="K7" s="24" t="s">
        <v>1156</v>
      </c>
      <c r="L7" s="27"/>
    </row>
    <row r="8">
      <c r="A8" s="73" t="s">
        <v>5273</v>
      </c>
      <c r="B8" s="24" t="s">
        <v>2364</v>
      </c>
      <c r="C8" s="21" t="s">
        <v>3203</v>
      </c>
      <c r="D8" s="21" t="s">
        <v>3203</v>
      </c>
      <c r="E8" s="21">
        <v>0.032</v>
      </c>
      <c r="F8" s="21">
        <v>0.192</v>
      </c>
      <c r="G8" s="21">
        <v>0.11</v>
      </c>
      <c r="H8" s="21"/>
      <c r="I8" s="27"/>
      <c r="J8" s="23"/>
      <c r="K8" s="24" t="s">
        <v>3169</v>
      </c>
      <c r="L8" s="27"/>
    </row>
    <row r="9">
      <c r="A9" s="73" t="s">
        <v>5274</v>
      </c>
      <c r="B9" s="24" t="s">
        <v>2364</v>
      </c>
      <c r="C9" s="21" t="s">
        <v>3227</v>
      </c>
      <c r="D9" s="21" t="s">
        <v>3227</v>
      </c>
      <c r="E9" s="21">
        <v>0.055</v>
      </c>
      <c r="F9" s="21">
        <v>0.045</v>
      </c>
      <c r="G9" s="21">
        <v>0.195</v>
      </c>
      <c r="H9" s="21"/>
      <c r="I9" s="27"/>
      <c r="J9" s="23"/>
      <c r="K9" s="24" t="s">
        <v>3169</v>
      </c>
      <c r="L9" s="27"/>
    </row>
    <row r="10">
      <c r="A10" s="73" t="s">
        <v>5275</v>
      </c>
      <c r="B10" s="24" t="s">
        <v>2364</v>
      </c>
      <c r="C10" s="21" t="s">
        <v>3209</v>
      </c>
      <c r="D10" s="21" t="s">
        <v>3209</v>
      </c>
      <c r="E10" s="21">
        <v>0.09</v>
      </c>
      <c r="F10" s="21">
        <v>0.09</v>
      </c>
      <c r="G10" s="21">
        <v>0.11</v>
      </c>
      <c r="H10" s="21"/>
      <c r="I10" s="27"/>
      <c r="J10" s="23"/>
      <c r="K10" s="24" t="s">
        <v>3169</v>
      </c>
      <c r="L10" s="27"/>
    </row>
    <row r="11">
      <c r="A11" s="73" t="s">
        <v>5276</v>
      </c>
      <c r="B11" s="24" t="s">
        <v>2364</v>
      </c>
      <c r="C11" s="21" t="s">
        <v>3179</v>
      </c>
      <c r="D11" s="21" t="s">
        <v>3179</v>
      </c>
      <c r="E11" s="21">
        <v>0.035</v>
      </c>
      <c r="F11" s="21">
        <v>0.14</v>
      </c>
      <c r="G11" s="21">
        <v>0.17</v>
      </c>
      <c r="H11" s="21"/>
      <c r="I11" s="27"/>
      <c r="J11" s="23"/>
      <c r="K11" s="24" t="s">
        <v>3169</v>
      </c>
      <c r="L11" s="27"/>
    </row>
    <row r="12">
      <c r="A12" s="73" t="s">
        <v>5277</v>
      </c>
      <c r="B12" s="24" t="s">
        <v>2364</v>
      </c>
      <c r="C12" s="21" t="s">
        <v>3173</v>
      </c>
      <c r="D12" s="21" t="s">
        <v>3173</v>
      </c>
      <c r="E12" s="21">
        <v>0.035</v>
      </c>
      <c r="F12" s="21">
        <v>0.14</v>
      </c>
      <c r="G12" s="21">
        <v>0.17</v>
      </c>
      <c r="H12" s="21"/>
      <c r="I12" s="27"/>
      <c r="J12" s="23"/>
      <c r="K12" s="24" t="s">
        <v>3169</v>
      </c>
      <c r="L12" s="27"/>
    </row>
    <row r="13">
      <c r="A13" s="73" t="s">
        <v>5278</v>
      </c>
      <c r="B13" s="24" t="s">
        <v>2364</v>
      </c>
      <c r="C13" s="21" t="s">
        <v>3185</v>
      </c>
      <c r="D13" s="21" t="s">
        <v>3185</v>
      </c>
      <c r="E13" s="21">
        <v>0.09</v>
      </c>
      <c r="F13" s="21">
        <v>0.09</v>
      </c>
      <c r="G13" s="21">
        <v>0.11</v>
      </c>
      <c r="H13" s="21"/>
      <c r="I13" s="27"/>
      <c r="J13" s="23"/>
      <c r="K13" s="24" t="s">
        <v>3169</v>
      </c>
      <c r="L13" s="27"/>
    </row>
    <row r="14">
      <c r="A14" s="73" t="s">
        <v>5279</v>
      </c>
      <c r="B14" s="24" t="s">
        <v>2364</v>
      </c>
      <c r="C14" s="21" t="s">
        <v>3215</v>
      </c>
      <c r="D14" s="21" t="s">
        <v>3215</v>
      </c>
      <c r="E14" s="21">
        <v>0.055</v>
      </c>
      <c r="F14" s="21">
        <v>0.045</v>
      </c>
      <c r="G14" s="21">
        <v>0.195</v>
      </c>
      <c r="H14" s="21"/>
      <c r="I14" s="27"/>
      <c r="J14" s="23"/>
      <c r="K14" s="24" t="s">
        <v>3169</v>
      </c>
      <c r="L14" s="27"/>
    </row>
    <row r="15">
      <c r="A15" s="73" t="s">
        <v>5280</v>
      </c>
      <c r="B15" s="24" t="s">
        <v>2364</v>
      </c>
      <c r="C15" s="21" t="s">
        <v>3221</v>
      </c>
      <c r="D15" s="21" t="s">
        <v>3221</v>
      </c>
      <c r="E15" s="21">
        <v>0.032</v>
      </c>
      <c r="F15" s="21">
        <v>0.192</v>
      </c>
      <c r="G15" s="21">
        <v>0.11</v>
      </c>
      <c r="H15" s="21"/>
      <c r="I15" s="27"/>
      <c r="J15" s="23"/>
      <c r="K15" s="24" t="s">
        <v>3169</v>
      </c>
      <c r="L15" s="27"/>
    </row>
    <row r="16">
      <c r="A16" s="73" t="s">
        <v>5281</v>
      </c>
      <c r="B16" s="24" t="s">
        <v>2364</v>
      </c>
      <c r="C16" s="21" t="s">
        <v>2737</v>
      </c>
      <c r="D16" s="21" t="s">
        <v>2737</v>
      </c>
      <c r="E16" s="21">
        <v>0.04</v>
      </c>
      <c r="F16" s="21">
        <v>0.18</v>
      </c>
      <c r="G16" s="21">
        <v>0.09999999</v>
      </c>
      <c r="H16" s="21"/>
      <c r="I16" s="27"/>
      <c r="J16" s="23"/>
      <c r="K16" s="24" t="s">
        <v>3169</v>
      </c>
      <c r="L16" s="27"/>
    </row>
    <row r="17">
      <c r="A17" s="73" t="s">
        <v>5282</v>
      </c>
      <c r="B17" s="24" t="s">
        <v>2364</v>
      </c>
      <c r="C17" s="21" t="s">
        <v>3191</v>
      </c>
      <c r="D17" s="21" t="s">
        <v>3191</v>
      </c>
      <c r="E17" s="21">
        <v>0.037</v>
      </c>
      <c r="F17" s="21">
        <v>0.17</v>
      </c>
      <c r="G17" s="21">
        <v>0.2</v>
      </c>
      <c r="H17" s="21"/>
      <c r="I17" s="27"/>
      <c r="J17" s="23"/>
      <c r="K17" s="24" t="s">
        <v>3169</v>
      </c>
      <c r="L17" s="27"/>
    </row>
    <row r="18">
      <c r="A18" s="73" t="s">
        <v>5283</v>
      </c>
      <c r="B18" s="24" t="s">
        <v>2364</v>
      </c>
      <c r="C18" s="21" t="s">
        <v>3197</v>
      </c>
      <c r="D18" s="21" t="s">
        <v>3197</v>
      </c>
      <c r="E18" s="21">
        <v>0.037</v>
      </c>
      <c r="F18" s="21">
        <v>0.17</v>
      </c>
      <c r="G18" s="21">
        <v>0.2</v>
      </c>
      <c r="H18" s="21"/>
      <c r="I18" s="27"/>
      <c r="J18" s="23"/>
      <c r="K18" s="24" t="s">
        <v>3169</v>
      </c>
      <c r="L18" s="27"/>
    </row>
    <row r="19">
      <c r="A19" s="73" t="s">
        <v>5284</v>
      </c>
      <c r="B19" s="24" t="s">
        <v>626</v>
      </c>
      <c r="C19" s="21" t="s">
        <v>2724</v>
      </c>
      <c r="D19" s="21" t="s">
        <v>2724</v>
      </c>
      <c r="E19" s="21">
        <v>0.014</v>
      </c>
      <c r="F19" s="21">
        <v>0.157</v>
      </c>
      <c r="G19" s="21">
        <v>0.077</v>
      </c>
      <c r="H19" s="21"/>
      <c r="I19" s="27"/>
      <c r="J19" s="23"/>
      <c r="K19" s="24" t="s">
        <v>3169</v>
      </c>
      <c r="L19" s="27"/>
    </row>
    <row r="20">
      <c r="A20" s="73" t="s">
        <v>5285</v>
      </c>
      <c r="B20" s="24" t="s">
        <v>626</v>
      </c>
      <c r="C20" s="21" t="s">
        <v>2731</v>
      </c>
      <c r="D20" s="21" t="s">
        <v>2731</v>
      </c>
      <c r="E20" s="21">
        <v>0.02</v>
      </c>
      <c r="F20" s="21">
        <v>0.15</v>
      </c>
      <c r="G20" s="21">
        <v>0.079</v>
      </c>
      <c r="H20" s="21"/>
      <c r="I20" s="27"/>
      <c r="J20" s="23"/>
      <c r="K20" s="24" t="s">
        <v>3169</v>
      </c>
      <c r="L20" s="27"/>
    </row>
    <row r="21">
      <c r="A21" s="73" t="s">
        <v>5286</v>
      </c>
      <c r="B21" s="24" t="s">
        <v>1555</v>
      </c>
      <c r="C21" s="21" t="s">
        <v>1923</v>
      </c>
      <c r="D21" s="21" t="s">
        <v>1923</v>
      </c>
      <c r="E21" s="21">
        <v>0.06</v>
      </c>
      <c r="F21" s="21">
        <v>0.06</v>
      </c>
      <c r="G21" s="21">
        <v>0.195</v>
      </c>
      <c r="H21" s="21"/>
      <c r="I21" s="27"/>
      <c r="J21" s="23"/>
      <c r="K21" s="24" t="s">
        <v>1913</v>
      </c>
      <c r="L21" s="27"/>
    </row>
    <row r="22">
      <c r="A22" s="73" t="s">
        <v>5287</v>
      </c>
      <c r="B22" s="24" t="s">
        <v>1555</v>
      </c>
      <c r="C22" s="21" t="s">
        <v>1935</v>
      </c>
      <c r="D22" s="21" t="s">
        <v>1935</v>
      </c>
      <c r="E22" s="21">
        <v>0.06</v>
      </c>
      <c r="F22" s="21">
        <v>0.06</v>
      </c>
      <c r="G22" s="21">
        <v>0.195</v>
      </c>
      <c r="H22" s="21"/>
      <c r="I22" s="27"/>
      <c r="J22" s="23"/>
      <c r="K22" s="24" t="s">
        <v>1913</v>
      </c>
      <c r="L22" s="27"/>
    </row>
    <row r="23">
      <c r="A23" s="73" t="s">
        <v>5288</v>
      </c>
      <c r="B23" s="24" t="s">
        <v>1555</v>
      </c>
      <c r="C23" s="21" t="s">
        <v>1916</v>
      </c>
      <c r="D23" s="21" t="s">
        <v>1916</v>
      </c>
      <c r="E23" s="21">
        <v>0.08</v>
      </c>
      <c r="F23" s="21">
        <v>0.08</v>
      </c>
      <c r="G23" s="21">
        <v>0.26</v>
      </c>
      <c r="H23" s="21"/>
      <c r="I23" s="27"/>
      <c r="J23" s="23"/>
      <c r="K23" s="24" t="s">
        <v>1913</v>
      </c>
      <c r="L23" s="27"/>
    </row>
    <row r="24">
      <c r="A24" s="73" t="s">
        <v>5289</v>
      </c>
      <c r="B24" s="24" t="s">
        <v>1555</v>
      </c>
      <c r="C24" s="21" t="s">
        <v>1929</v>
      </c>
      <c r="D24" s="21" t="s">
        <v>1929</v>
      </c>
      <c r="E24" s="21">
        <v>0.08</v>
      </c>
      <c r="F24" s="21">
        <v>0.08</v>
      </c>
      <c r="G24" s="21">
        <v>0.26</v>
      </c>
      <c r="H24" s="21"/>
      <c r="I24" s="27"/>
      <c r="J24" s="23"/>
      <c r="K24" s="24" t="s">
        <v>1913</v>
      </c>
      <c r="L24" s="27"/>
    </row>
    <row r="25">
      <c r="A25" s="73" t="s">
        <v>5290</v>
      </c>
      <c r="B25" s="24" t="s">
        <v>1222</v>
      </c>
      <c r="C25" s="21" t="s">
        <v>5163</v>
      </c>
      <c r="D25" s="21" t="s">
        <v>5163</v>
      </c>
      <c r="E25" s="21">
        <v>0.13</v>
      </c>
      <c r="F25" s="21">
        <v>0.09</v>
      </c>
      <c r="G25" s="21">
        <v>0.195</v>
      </c>
      <c r="H25" s="21"/>
      <c r="I25" s="27"/>
      <c r="J25" s="23"/>
      <c r="K25" s="24" t="s">
        <v>1905</v>
      </c>
      <c r="L25" s="27"/>
    </row>
    <row r="26">
      <c r="A26" s="73" t="s">
        <v>5291</v>
      </c>
      <c r="B26" s="24" t="s">
        <v>51</v>
      </c>
      <c r="C26" s="21" t="s">
        <v>49</v>
      </c>
      <c r="D26" s="21" t="s">
        <v>49</v>
      </c>
      <c r="E26" s="21">
        <v>0.057</v>
      </c>
      <c r="F26" s="21">
        <v>0.11</v>
      </c>
      <c r="G26" s="21">
        <v>0.15</v>
      </c>
      <c r="H26" s="21"/>
      <c r="I26" s="27"/>
      <c r="J26" s="23"/>
      <c r="K26" s="24" t="s">
        <v>5165</v>
      </c>
      <c r="L26" s="27"/>
    </row>
    <row r="27">
      <c r="A27" s="73" t="s">
        <v>5292</v>
      </c>
      <c r="B27" s="24" t="s">
        <v>320</v>
      </c>
      <c r="C27" s="21" t="s">
        <v>1311</v>
      </c>
      <c r="D27" s="21" t="s">
        <v>1311</v>
      </c>
      <c r="E27" s="21">
        <v>0.02</v>
      </c>
      <c r="F27" s="21">
        <v>0.135</v>
      </c>
      <c r="G27" s="21">
        <v>0.035</v>
      </c>
      <c r="H27" s="21"/>
      <c r="I27" s="27"/>
      <c r="J27" s="23"/>
      <c r="K27" s="24" t="s">
        <v>1308</v>
      </c>
      <c r="L27" s="27"/>
    </row>
    <row r="28">
      <c r="A28" s="73" t="s">
        <v>5293</v>
      </c>
      <c r="B28" s="24" t="s">
        <v>954</v>
      </c>
      <c r="C28" s="21" t="s">
        <v>1301</v>
      </c>
      <c r="D28" s="21" t="s">
        <v>1301</v>
      </c>
      <c r="E28" s="21">
        <v>0.03</v>
      </c>
      <c r="F28" s="21">
        <v>0.13</v>
      </c>
      <c r="G28" s="21">
        <v>0.18</v>
      </c>
      <c r="H28" s="21"/>
      <c r="I28" s="27"/>
      <c r="J28" s="23"/>
      <c r="K28" s="24" t="s">
        <v>1308</v>
      </c>
      <c r="L28" s="27"/>
    </row>
    <row r="29">
      <c r="A29" s="73" t="s">
        <v>5294</v>
      </c>
      <c r="B29" s="24" t="s">
        <v>320</v>
      </c>
      <c r="C29" s="21" t="s">
        <v>1318</v>
      </c>
      <c r="D29" s="21" t="s">
        <v>1318</v>
      </c>
      <c r="E29" s="21">
        <v>0.02</v>
      </c>
      <c r="F29" s="21">
        <v>0.135</v>
      </c>
      <c r="G29" s="21">
        <v>0.035</v>
      </c>
      <c r="H29" s="21"/>
      <c r="I29" s="27"/>
      <c r="J29" s="23"/>
      <c r="K29" s="24" t="s">
        <v>1316</v>
      </c>
      <c r="L29" s="27"/>
    </row>
    <row r="30">
      <c r="A30" s="73" t="s">
        <v>5295</v>
      </c>
      <c r="B30" s="24" t="s">
        <v>320</v>
      </c>
      <c r="C30" s="21" t="s">
        <v>1324</v>
      </c>
      <c r="D30" s="21" t="s">
        <v>1324</v>
      </c>
      <c r="E30" s="21">
        <v>0.02</v>
      </c>
      <c r="F30" s="21">
        <v>0.135</v>
      </c>
      <c r="G30" s="21">
        <v>0.035</v>
      </c>
      <c r="H30" s="21"/>
      <c r="I30" s="27"/>
      <c r="J30" s="23"/>
      <c r="K30" s="24" t="s">
        <v>1316</v>
      </c>
      <c r="L30" s="27"/>
    </row>
    <row r="31">
      <c r="A31" s="73" t="s">
        <v>5296</v>
      </c>
      <c r="B31" s="24" t="s">
        <v>365</v>
      </c>
      <c r="C31" s="21" t="s">
        <v>1339</v>
      </c>
      <c r="D31" s="21" t="s">
        <v>1339</v>
      </c>
      <c r="E31" s="21">
        <v>0.06</v>
      </c>
      <c r="F31" s="21">
        <v>0.06</v>
      </c>
      <c r="G31" s="21">
        <v>0.228</v>
      </c>
      <c r="H31" s="21"/>
      <c r="I31" s="27"/>
      <c r="J31" s="23"/>
      <c r="K31" s="24" t="s">
        <v>1336</v>
      </c>
      <c r="L31" s="27"/>
    </row>
    <row r="32">
      <c r="A32" s="73" t="s">
        <v>5297</v>
      </c>
      <c r="B32" s="24" t="s">
        <v>2364</v>
      </c>
      <c r="C32" s="21" t="s">
        <v>3235</v>
      </c>
      <c r="D32" s="21" t="s">
        <v>3235</v>
      </c>
      <c r="E32" s="21">
        <v>0.055</v>
      </c>
      <c r="F32" s="21">
        <v>0.13</v>
      </c>
      <c r="G32" s="21">
        <v>0.19</v>
      </c>
      <c r="H32" s="21"/>
      <c r="I32" s="27"/>
      <c r="J32" s="23"/>
      <c r="K32" s="24" t="s">
        <v>3232</v>
      </c>
      <c r="L32" s="27"/>
    </row>
    <row r="33">
      <c r="A33" s="73" t="s">
        <v>5298</v>
      </c>
      <c r="B33" s="24" t="s">
        <v>2364</v>
      </c>
      <c r="C33" s="21" t="s">
        <v>3241</v>
      </c>
      <c r="D33" s="21" t="s">
        <v>3241</v>
      </c>
      <c r="E33" s="21">
        <v>0.055</v>
      </c>
      <c r="F33" s="21">
        <v>0.13</v>
      </c>
      <c r="G33" s="21">
        <v>0.19</v>
      </c>
      <c r="H33" s="21"/>
      <c r="I33" s="27"/>
      <c r="J33" s="23"/>
      <c r="K33" s="24" t="s">
        <v>3232</v>
      </c>
      <c r="L33" s="27"/>
    </row>
    <row r="34">
      <c r="A34" s="73" t="s">
        <v>5299</v>
      </c>
      <c r="B34" s="24" t="s">
        <v>2364</v>
      </c>
      <c r="C34" s="21" t="s">
        <v>3247</v>
      </c>
      <c r="D34" s="21" t="s">
        <v>3247</v>
      </c>
      <c r="E34" s="21">
        <v>0.06</v>
      </c>
      <c r="F34" s="21">
        <v>0.25</v>
      </c>
      <c r="G34" s="21">
        <v>0.05</v>
      </c>
      <c r="H34" s="21"/>
      <c r="I34" s="27"/>
      <c r="J34" s="23"/>
      <c r="K34" s="24" t="s">
        <v>3232</v>
      </c>
      <c r="L34" s="27"/>
    </row>
    <row r="35">
      <c r="A35" s="73" t="s">
        <v>5300</v>
      </c>
      <c r="B35" s="24" t="s">
        <v>2364</v>
      </c>
      <c r="C35" s="21" t="s">
        <v>3253</v>
      </c>
      <c r="D35" s="21" t="s">
        <v>3253</v>
      </c>
      <c r="E35" s="21">
        <v>0.065</v>
      </c>
      <c r="F35" s="21">
        <v>0.13</v>
      </c>
      <c r="G35" s="21">
        <v>0.18</v>
      </c>
      <c r="H35" s="21"/>
      <c r="I35" s="27"/>
      <c r="J35" s="23"/>
      <c r="K35" s="24" t="s">
        <v>3232</v>
      </c>
      <c r="L35" s="27"/>
    </row>
    <row r="36">
      <c r="A36" s="73" t="s">
        <v>5301</v>
      </c>
      <c r="B36" s="24" t="s">
        <v>2364</v>
      </c>
      <c r="C36" s="21" t="s">
        <v>3259</v>
      </c>
      <c r="D36" s="21" t="s">
        <v>3259</v>
      </c>
      <c r="E36" s="21">
        <v>0.05</v>
      </c>
      <c r="F36" s="21">
        <v>0.285</v>
      </c>
      <c r="G36" s="21">
        <v>0.08</v>
      </c>
      <c r="H36" s="21"/>
      <c r="I36" s="27"/>
      <c r="J36" s="23"/>
      <c r="K36" s="24" t="s">
        <v>3232</v>
      </c>
      <c r="L36" s="27"/>
    </row>
    <row r="37">
      <c r="A37" s="73" t="s">
        <v>5302</v>
      </c>
      <c r="B37" s="24" t="s">
        <v>3267</v>
      </c>
      <c r="C37" s="21" t="s">
        <v>3265</v>
      </c>
      <c r="D37" s="21" t="s">
        <v>3265</v>
      </c>
      <c r="E37" s="21">
        <v>0.02</v>
      </c>
      <c r="F37" s="21">
        <v>0.065</v>
      </c>
      <c r="G37" s="21">
        <v>0.16</v>
      </c>
      <c r="H37" s="21"/>
      <c r="I37" s="27"/>
      <c r="J37" s="23"/>
      <c r="K37" s="24" t="s">
        <v>3232</v>
      </c>
      <c r="L37" s="27"/>
    </row>
    <row r="38">
      <c r="A38" s="73" t="s">
        <v>5303</v>
      </c>
      <c r="B38" s="24" t="s">
        <v>109</v>
      </c>
      <c r="C38" s="21" t="s">
        <v>107</v>
      </c>
      <c r="D38" s="21" t="s">
        <v>107</v>
      </c>
      <c r="E38" s="21">
        <v>0.06</v>
      </c>
      <c r="F38" s="21">
        <v>0.145</v>
      </c>
      <c r="G38" s="21">
        <v>0.225</v>
      </c>
      <c r="H38" s="21"/>
      <c r="I38" s="27"/>
      <c r="J38" s="23"/>
      <c r="K38" s="24" t="s">
        <v>104</v>
      </c>
      <c r="L38" s="27"/>
    </row>
    <row r="39">
      <c r="A39" s="73" t="s">
        <v>5304</v>
      </c>
      <c r="B39" s="24" t="s">
        <v>109</v>
      </c>
      <c r="C39" s="21" t="s">
        <v>116</v>
      </c>
      <c r="D39" s="21" t="s">
        <v>116</v>
      </c>
      <c r="E39" s="21">
        <v>0.06</v>
      </c>
      <c r="F39" s="21">
        <v>0.125</v>
      </c>
      <c r="G39" s="21">
        <v>0.1665</v>
      </c>
      <c r="H39" s="21"/>
      <c r="I39" s="27"/>
      <c r="J39" s="23"/>
      <c r="K39" s="24" t="s">
        <v>104</v>
      </c>
      <c r="L39" s="27"/>
    </row>
    <row r="40">
      <c r="A40" s="73" t="s">
        <v>5305</v>
      </c>
      <c r="B40" s="24" t="s">
        <v>109</v>
      </c>
      <c r="C40" s="21" t="s">
        <v>122</v>
      </c>
      <c r="D40" s="21" t="s">
        <v>122</v>
      </c>
      <c r="E40" s="21">
        <v>0.06</v>
      </c>
      <c r="F40" s="21">
        <v>0.125</v>
      </c>
      <c r="G40" s="21">
        <v>0.1665</v>
      </c>
      <c r="H40" s="21"/>
      <c r="I40" s="27"/>
      <c r="J40" s="23"/>
      <c r="K40" s="24" t="s">
        <v>104</v>
      </c>
      <c r="L40" s="27"/>
    </row>
    <row r="41">
      <c r="A41" s="73" t="s">
        <v>5306</v>
      </c>
      <c r="B41" s="24" t="s">
        <v>109</v>
      </c>
      <c r="C41" s="21" t="s">
        <v>127</v>
      </c>
      <c r="D41" s="21" t="s">
        <v>127</v>
      </c>
      <c r="E41" s="21">
        <v>0.04</v>
      </c>
      <c r="F41" s="21">
        <v>0.13</v>
      </c>
      <c r="G41" s="21">
        <v>0.12</v>
      </c>
      <c r="H41" s="21"/>
      <c r="I41" s="27"/>
      <c r="J41" s="23"/>
      <c r="K41" s="24" t="s">
        <v>104</v>
      </c>
      <c r="L41" s="27"/>
    </row>
    <row r="42">
      <c r="A42" s="73" t="s">
        <v>5307</v>
      </c>
      <c r="B42" s="24" t="s">
        <v>137</v>
      </c>
      <c r="C42" s="21" t="s">
        <v>135</v>
      </c>
      <c r="D42" s="21" t="s">
        <v>135</v>
      </c>
      <c r="E42" s="21">
        <v>0.09</v>
      </c>
      <c r="F42" s="21">
        <v>0.09999999</v>
      </c>
      <c r="G42" s="21">
        <v>0.35</v>
      </c>
      <c r="H42" s="21"/>
      <c r="I42" s="27"/>
      <c r="J42" s="23"/>
      <c r="K42" s="24" t="s">
        <v>131</v>
      </c>
      <c r="L42" s="27"/>
    </row>
    <row r="43">
      <c r="A43" s="73" t="s">
        <v>5308</v>
      </c>
      <c r="B43" s="23"/>
      <c r="C43" s="21" t="s">
        <v>2592</v>
      </c>
      <c r="D43" s="21" t="s">
        <v>2592</v>
      </c>
      <c r="E43" s="21">
        <v>0.4</v>
      </c>
      <c r="F43" s="21">
        <v>1.2</v>
      </c>
      <c r="G43" s="21">
        <v>0.18</v>
      </c>
      <c r="H43" s="21"/>
      <c r="I43" s="23"/>
      <c r="J43" s="23"/>
      <c r="K43" s="24" t="s">
        <v>2589</v>
      </c>
      <c r="L43" s="41"/>
    </row>
    <row r="44">
      <c r="A44" s="73" t="s">
        <v>5309</v>
      </c>
      <c r="B44" s="24" t="s">
        <v>149</v>
      </c>
      <c r="C44" s="21" t="s">
        <v>147</v>
      </c>
      <c r="D44" s="21" t="s">
        <v>147</v>
      </c>
      <c r="E44" s="21">
        <v>0.065</v>
      </c>
      <c r="F44" s="21">
        <v>0.065</v>
      </c>
      <c r="G44" s="21">
        <v>0.2</v>
      </c>
      <c r="H44" s="21"/>
      <c r="I44" s="27"/>
      <c r="J44" s="23"/>
      <c r="K44" s="24" t="s">
        <v>143</v>
      </c>
      <c r="L44" s="27"/>
    </row>
    <row r="45">
      <c r="A45" s="73" t="s">
        <v>5310</v>
      </c>
      <c r="B45" s="24" t="s">
        <v>149</v>
      </c>
      <c r="C45" s="21" t="s">
        <v>174</v>
      </c>
      <c r="D45" s="21" t="s">
        <v>174</v>
      </c>
      <c r="E45" s="21">
        <v>0.065</v>
      </c>
      <c r="F45" s="21">
        <v>0.065</v>
      </c>
      <c r="G45" s="21">
        <v>0.2</v>
      </c>
      <c r="H45" s="21"/>
      <c r="I45" s="27"/>
      <c r="J45" s="23"/>
      <c r="K45" s="24" t="s">
        <v>143</v>
      </c>
      <c r="L45" s="27"/>
    </row>
    <row r="46">
      <c r="A46" s="73" t="s">
        <v>5311</v>
      </c>
      <c r="B46" s="24" t="s">
        <v>149</v>
      </c>
      <c r="C46" s="21" t="s">
        <v>155</v>
      </c>
      <c r="D46" s="21" t="s">
        <v>155</v>
      </c>
      <c r="E46" s="21">
        <v>0.065</v>
      </c>
      <c r="F46" s="21">
        <v>0.065</v>
      </c>
      <c r="G46" s="21">
        <v>0.2</v>
      </c>
      <c r="H46" s="21"/>
      <c r="I46" s="27"/>
      <c r="J46" s="23"/>
      <c r="K46" s="24" t="s">
        <v>143</v>
      </c>
      <c r="L46" s="27"/>
    </row>
    <row r="47">
      <c r="A47" s="73" t="s">
        <v>5312</v>
      </c>
      <c r="B47" s="24" t="s">
        <v>149</v>
      </c>
      <c r="C47" s="21" t="s">
        <v>168</v>
      </c>
      <c r="D47" s="21" t="s">
        <v>168</v>
      </c>
      <c r="E47" s="21">
        <v>0.08</v>
      </c>
      <c r="F47" s="21">
        <v>0.08</v>
      </c>
      <c r="G47" s="21">
        <v>0.28</v>
      </c>
      <c r="H47" s="21"/>
      <c r="I47" s="27"/>
      <c r="J47" s="23"/>
      <c r="K47" s="24" t="s">
        <v>143</v>
      </c>
      <c r="L47" s="27"/>
    </row>
    <row r="48">
      <c r="A48" s="73" t="s">
        <v>5313</v>
      </c>
      <c r="B48" s="24" t="s">
        <v>149</v>
      </c>
      <c r="C48" s="21" t="s">
        <v>161</v>
      </c>
      <c r="D48" s="21" t="s">
        <v>161</v>
      </c>
      <c r="E48" s="21">
        <v>0.08</v>
      </c>
      <c r="F48" s="21">
        <v>0.08</v>
      </c>
      <c r="G48" s="21">
        <v>0.28</v>
      </c>
      <c r="H48" s="21"/>
      <c r="I48" s="27"/>
      <c r="J48" s="23"/>
      <c r="K48" s="24" t="s">
        <v>143</v>
      </c>
      <c r="L48" s="27"/>
    </row>
    <row r="49">
      <c r="A49" s="73" t="s">
        <v>5314</v>
      </c>
      <c r="B49" s="24" t="s">
        <v>365</v>
      </c>
      <c r="C49" s="21" t="s">
        <v>534</v>
      </c>
      <c r="D49" s="21" t="s">
        <v>534</v>
      </c>
      <c r="E49" s="21">
        <v>0.055</v>
      </c>
      <c r="F49" s="21">
        <v>0.055</v>
      </c>
      <c r="G49" s="21">
        <v>0.23</v>
      </c>
      <c r="H49" s="21"/>
      <c r="I49" s="27"/>
      <c r="J49" s="23"/>
      <c r="K49" s="24" t="s">
        <v>530</v>
      </c>
      <c r="L49" s="27"/>
    </row>
    <row r="50">
      <c r="A50" s="73" t="s">
        <v>5315</v>
      </c>
      <c r="B50" s="24" t="s">
        <v>365</v>
      </c>
      <c r="C50" s="21" t="s">
        <v>541</v>
      </c>
      <c r="D50" s="21" t="s">
        <v>541</v>
      </c>
      <c r="E50" s="21">
        <v>0.055</v>
      </c>
      <c r="F50" s="21">
        <v>0.055</v>
      </c>
      <c r="G50" s="21">
        <v>0.17</v>
      </c>
      <c r="H50" s="21"/>
      <c r="I50" s="27"/>
      <c r="J50" s="23"/>
      <c r="K50" s="24" t="s">
        <v>530</v>
      </c>
      <c r="L50" s="27"/>
    </row>
    <row r="51">
      <c r="A51" s="73" t="s">
        <v>5316</v>
      </c>
      <c r="B51" s="24" t="s">
        <v>501</v>
      </c>
      <c r="C51" s="21" t="s">
        <v>499</v>
      </c>
      <c r="D51" s="21" t="s">
        <v>499</v>
      </c>
      <c r="E51" s="21">
        <v>0.02</v>
      </c>
      <c r="F51" s="21">
        <v>0.155</v>
      </c>
      <c r="G51" s="21">
        <v>0.04</v>
      </c>
      <c r="H51" s="21"/>
      <c r="I51" s="27"/>
      <c r="J51" s="23"/>
      <c r="K51" s="24" t="s">
        <v>496</v>
      </c>
      <c r="L51" s="27"/>
    </row>
    <row r="52">
      <c r="A52" s="73" t="s">
        <v>5317</v>
      </c>
      <c r="B52" s="24" t="s">
        <v>309</v>
      </c>
      <c r="C52" s="21" t="s">
        <v>307</v>
      </c>
      <c r="D52" s="21" t="s">
        <v>307</v>
      </c>
      <c r="E52" s="21">
        <v>0.02</v>
      </c>
      <c r="F52" s="21">
        <v>0.046</v>
      </c>
      <c r="G52" s="21">
        <v>0.076</v>
      </c>
      <c r="H52" s="21"/>
      <c r="I52" s="27"/>
      <c r="J52" s="23"/>
      <c r="K52" s="24" t="s">
        <v>304</v>
      </c>
      <c r="L52" s="27"/>
    </row>
    <row r="53">
      <c r="A53" s="73" t="s">
        <v>5318</v>
      </c>
      <c r="B53" s="24" t="s">
        <v>320</v>
      </c>
      <c r="C53" s="21" t="s">
        <v>318</v>
      </c>
      <c r="D53" s="21" t="s">
        <v>318</v>
      </c>
      <c r="E53" s="21">
        <v>0.02</v>
      </c>
      <c r="F53" s="21">
        <v>0.162</v>
      </c>
      <c r="G53" s="21">
        <v>0.05</v>
      </c>
      <c r="H53" s="21"/>
      <c r="I53" s="27"/>
      <c r="J53" s="23"/>
      <c r="K53" s="24" t="s">
        <v>315</v>
      </c>
      <c r="L53" s="27"/>
    </row>
    <row r="54">
      <c r="A54" s="73" t="s">
        <v>5319</v>
      </c>
      <c r="B54" s="24" t="s">
        <v>320</v>
      </c>
      <c r="C54" s="21" t="s">
        <v>318</v>
      </c>
      <c r="D54" s="21" t="s">
        <v>318</v>
      </c>
      <c r="E54" s="21">
        <v>0.02</v>
      </c>
      <c r="F54" s="21">
        <v>0.162</v>
      </c>
      <c r="G54" s="21">
        <v>0.05</v>
      </c>
      <c r="H54" s="21"/>
      <c r="I54" s="27"/>
      <c r="J54" s="23"/>
      <c r="K54" s="24" t="s">
        <v>315</v>
      </c>
      <c r="L54" s="27"/>
    </row>
    <row r="55">
      <c r="A55" s="73" t="s">
        <v>5320</v>
      </c>
      <c r="B55" s="24" t="s">
        <v>320</v>
      </c>
      <c r="C55" s="21" t="s">
        <v>330</v>
      </c>
      <c r="D55" s="21" t="s">
        <v>330</v>
      </c>
      <c r="E55" s="21">
        <v>0.02</v>
      </c>
      <c r="F55" s="21">
        <v>0.162</v>
      </c>
      <c r="G55" s="21">
        <v>0.05</v>
      </c>
      <c r="H55" s="21"/>
      <c r="I55" s="27"/>
      <c r="J55" s="23"/>
      <c r="K55" s="24" t="s">
        <v>315</v>
      </c>
      <c r="L55" s="27"/>
    </row>
    <row r="56">
      <c r="A56" s="73" t="s">
        <v>5321</v>
      </c>
      <c r="B56" s="24" t="s">
        <v>1413</v>
      </c>
      <c r="C56" s="21" t="s">
        <v>3581</v>
      </c>
      <c r="D56" s="21" t="s">
        <v>3581</v>
      </c>
      <c r="E56" s="21">
        <v>0.05</v>
      </c>
      <c r="F56" s="21">
        <v>0.12</v>
      </c>
      <c r="G56" s="21">
        <v>0.185</v>
      </c>
      <c r="H56" s="21"/>
      <c r="I56" s="27"/>
      <c r="J56" s="23"/>
      <c r="K56" s="24" t="s">
        <v>1413</v>
      </c>
      <c r="L56" s="27"/>
    </row>
    <row r="57">
      <c r="A57" s="73" t="s">
        <v>5322</v>
      </c>
      <c r="B57" s="24" t="s">
        <v>1413</v>
      </c>
      <c r="C57" s="21" t="s">
        <v>3561</v>
      </c>
      <c r="D57" s="21" t="s">
        <v>3561</v>
      </c>
      <c r="E57" s="21">
        <v>0.04</v>
      </c>
      <c r="F57" s="21">
        <v>0.09999999</v>
      </c>
      <c r="G57" s="21">
        <v>0.19</v>
      </c>
      <c r="H57" s="21"/>
      <c r="I57" s="27"/>
      <c r="J57" s="23"/>
      <c r="K57" s="24" t="s">
        <v>1413</v>
      </c>
      <c r="L57" s="27"/>
    </row>
    <row r="58">
      <c r="A58" s="73" t="s">
        <v>5323</v>
      </c>
      <c r="B58" s="24" t="s">
        <v>1413</v>
      </c>
      <c r="C58" s="21" t="s">
        <v>3575</v>
      </c>
      <c r="D58" s="21" t="s">
        <v>3575</v>
      </c>
      <c r="E58" s="21">
        <v>0.03</v>
      </c>
      <c r="F58" s="21">
        <v>0.115</v>
      </c>
      <c r="G58" s="21">
        <v>0.195</v>
      </c>
      <c r="H58" s="21"/>
      <c r="I58" s="27"/>
      <c r="J58" s="23"/>
      <c r="K58" s="24" t="s">
        <v>1413</v>
      </c>
      <c r="L58" s="27"/>
    </row>
    <row r="59">
      <c r="A59" s="73" t="s">
        <v>5324</v>
      </c>
      <c r="B59" s="24" t="s">
        <v>1413</v>
      </c>
      <c r="C59" s="21" t="s">
        <v>3568</v>
      </c>
      <c r="D59" s="21" t="s">
        <v>3568</v>
      </c>
      <c r="E59" s="21">
        <v>0.085</v>
      </c>
      <c r="F59" s="21">
        <v>0.15</v>
      </c>
      <c r="G59" s="21">
        <v>0.23</v>
      </c>
      <c r="H59" s="21"/>
      <c r="I59" s="27"/>
      <c r="J59" s="23"/>
      <c r="K59" s="24" t="s">
        <v>1413</v>
      </c>
      <c r="L59" s="27"/>
    </row>
    <row r="60">
      <c r="A60" s="73" t="s">
        <v>5325</v>
      </c>
      <c r="B60" s="24" t="s">
        <v>1413</v>
      </c>
      <c r="C60" s="21" t="s">
        <v>3554</v>
      </c>
      <c r="D60" s="21" t="s">
        <v>3554</v>
      </c>
      <c r="E60" s="21">
        <v>0.08</v>
      </c>
      <c r="F60" s="21">
        <v>0.15</v>
      </c>
      <c r="G60" s="21">
        <v>0.23</v>
      </c>
      <c r="H60" s="21"/>
      <c r="I60" s="27"/>
      <c r="J60" s="23"/>
      <c r="K60" s="24" t="s">
        <v>1413</v>
      </c>
      <c r="L60" s="27"/>
    </row>
    <row r="61">
      <c r="A61" s="73" t="s">
        <v>5326</v>
      </c>
      <c r="B61" s="24" t="s">
        <v>340</v>
      </c>
      <c r="C61" s="21" t="s">
        <v>338</v>
      </c>
      <c r="D61" s="21" t="s">
        <v>338</v>
      </c>
      <c r="E61" s="21">
        <v>0.05</v>
      </c>
      <c r="F61" s="21">
        <v>0.05</v>
      </c>
      <c r="G61" s="21">
        <v>0.135</v>
      </c>
      <c r="H61" s="21"/>
      <c r="I61" s="27"/>
      <c r="J61" s="23"/>
      <c r="K61" s="24" t="s">
        <v>335</v>
      </c>
      <c r="L61" s="27"/>
    </row>
    <row r="62">
      <c r="A62" s="73" t="s">
        <v>5327</v>
      </c>
      <c r="B62" s="24" t="s">
        <v>340</v>
      </c>
      <c r="C62" s="21" t="s">
        <v>347</v>
      </c>
      <c r="D62" s="21" t="s">
        <v>347</v>
      </c>
      <c r="E62" s="21">
        <v>0.05</v>
      </c>
      <c r="F62" s="21">
        <v>0.05</v>
      </c>
      <c r="G62" s="21">
        <v>0.135</v>
      </c>
      <c r="H62" s="21"/>
      <c r="I62" s="27"/>
      <c r="J62" s="23"/>
      <c r="K62" s="24" t="s">
        <v>335</v>
      </c>
      <c r="L62" s="27"/>
    </row>
    <row r="63">
      <c r="A63" s="73" t="s">
        <v>5328</v>
      </c>
      <c r="B63" s="24" t="s">
        <v>340</v>
      </c>
      <c r="C63" s="21" t="s">
        <v>354</v>
      </c>
      <c r="D63" s="21" t="s">
        <v>354</v>
      </c>
      <c r="E63" s="21">
        <v>0.05</v>
      </c>
      <c r="F63" s="21">
        <v>0.05</v>
      </c>
      <c r="G63" s="21">
        <v>0.135</v>
      </c>
      <c r="H63" s="21"/>
      <c r="I63" s="27"/>
      <c r="J63" s="23"/>
      <c r="K63" s="24" t="s">
        <v>335</v>
      </c>
      <c r="L63" s="27"/>
    </row>
    <row r="64">
      <c r="A64" s="73" t="s">
        <v>5329</v>
      </c>
      <c r="B64" s="24" t="s">
        <v>109</v>
      </c>
      <c r="C64" s="21" t="s">
        <v>5171</v>
      </c>
      <c r="D64" s="21" t="s">
        <v>5171</v>
      </c>
      <c r="E64" s="21">
        <v>0.07</v>
      </c>
      <c r="F64" s="21">
        <v>0.19</v>
      </c>
      <c r="G64" s="21">
        <v>0.25</v>
      </c>
      <c r="H64" s="21"/>
      <c r="I64" s="27"/>
      <c r="J64" s="23"/>
      <c r="K64" s="24" t="s">
        <v>370</v>
      </c>
      <c r="L64" s="27"/>
    </row>
    <row r="65">
      <c r="A65" s="73" t="s">
        <v>5330</v>
      </c>
      <c r="B65" s="24" t="s">
        <v>109</v>
      </c>
      <c r="C65" s="21" t="s">
        <v>5172</v>
      </c>
      <c r="D65" s="21" t="s">
        <v>5172</v>
      </c>
      <c r="E65" s="21">
        <v>0.08</v>
      </c>
      <c r="F65" s="21">
        <v>0.14</v>
      </c>
      <c r="G65" s="21">
        <v>0.26</v>
      </c>
      <c r="H65" s="21"/>
      <c r="I65" s="27"/>
      <c r="J65" s="23"/>
      <c r="K65" s="24" t="s">
        <v>370</v>
      </c>
      <c r="L65" s="27"/>
    </row>
    <row r="66">
      <c r="A66" s="73" t="s">
        <v>5331</v>
      </c>
      <c r="B66" s="24" t="s">
        <v>109</v>
      </c>
      <c r="C66" s="21" t="s">
        <v>5173</v>
      </c>
      <c r="D66" s="21" t="s">
        <v>5173</v>
      </c>
      <c r="E66" s="21">
        <v>0.03</v>
      </c>
      <c r="F66" s="21">
        <v>0.102</v>
      </c>
      <c r="G66" s="21">
        <v>0.175</v>
      </c>
      <c r="H66" s="21"/>
      <c r="I66" s="27"/>
      <c r="J66" s="23"/>
      <c r="K66" s="24" t="s">
        <v>370</v>
      </c>
      <c r="L66" s="27"/>
    </row>
    <row r="67">
      <c r="A67" s="73" t="s">
        <v>5332</v>
      </c>
      <c r="B67" s="24" t="s">
        <v>109</v>
      </c>
      <c r="C67" s="21" t="s">
        <v>5174</v>
      </c>
      <c r="D67" s="21" t="s">
        <v>5174</v>
      </c>
      <c r="E67" s="21">
        <v>0.08</v>
      </c>
      <c r="F67" s="21">
        <v>0.14</v>
      </c>
      <c r="G67" s="21">
        <v>0.26</v>
      </c>
      <c r="H67" s="21"/>
      <c r="I67" s="27"/>
      <c r="J67" s="23"/>
      <c r="K67" s="24" t="s">
        <v>370</v>
      </c>
      <c r="L67" s="27"/>
    </row>
    <row r="68">
      <c r="A68" s="73" t="s">
        <v>5333</v>
      </c>
      <c r="B68" s="24" t="s">
        <v>109</v>
      </c>
      <c r="C68" s="21" t="s">
        <v>5175</v>
      </c>
      <c r="D68" s="21" t="s">
        <v>5175</v>
      </c>
      <c r="E68" s="21">
        <v>0.03</v>
      </c>
      <c r="F68" s="21">
        <v>0.102</v>
      </c>
      <c r="G68" s="21">
        <v>0.175</v>
      </c>
      <c r="H68" s="21"/>
      <c r="I68" s="27"/>
      <c r="J68" s="23"/>
      <c r="K68" s="24" t="s">
        <v>370</v>
      </c>
      <c r="L68" s="27"/>
    </row>
    <row r="69">
      <c r="A69" s="73" t="s">
        <v>5334</v>
      </c>
      <c r="B69" s="24" t="s">
        <v>109</v>
      </c>
      <c r="C69" s="21" t="s">
        <v>5176</v>
      </c>
      <c r="D69" s="21" t="s">
        <v>5176</v>
      </c>
      <c r="E69" s="21">
        <v>0.07</v>
      </c>
      <c r="F69" s="21">
        <v>0.14</v>
      </c>
      <c r="G69" s="21">
        <v>0.26</v>
      </c>
      <c r="H69" s="21"/>
      <c r="I69" s="27"/>
      <c r="J69" s="23"/>
      <c r="K69" s="24" t="s">
        <v>370</v>
      </c>
      <c r="L69" s="27"/>
    </row>
    <row r="70">
      <c r="A70" s="73" t="s">
        <v>5335</v>
      </c>
      <c r="B70" s="24" t="s">
        <v>109</v>
      </c>
      <c r="C70" s="21" t="s">
        <v>5177</v>
      </c>
      <c r="D70" s="21" t="s">
        <v>5177</v>
      </c>
      <c r="E70" s="21">
        <v>0.03</v>
      </c>
      <c r="F70" s="21">
        <v>0.102</v>
      </c>
      <c r="G70" s="21">
        <v>0.175</v>
      </c>
      <c r="H70" s="21"/>
      <c r="I70" s="27"/>
      <c r="J70" s="23"/>
      <c r="K70" s="24" t="s">
        <v>370</v>
      </c>
      <c r="L70" s="27"/>
    </row>
    <row r="71">
      <c r="A71" s="73" t="s">
        <v>5336</v>
      </c>
      <c r="B71" s="24" t="s">
        <v>109</v>
      </c>
      <c r="C71" s="21" t="s">
        <v>5178</v>
      </c>
      <c r="D71" s="21" t="s">
        <v>5178</v>
      </c>
      <c r="E71" s="21">
        <v>0.056</v>
      </c>
      <c r="F71" s="21">
        <v>0.128</v>
      </c>
      <c r="G71" s="21">
        <v>0.23</v>
      </c>
      <c r="H71" s="21"/>
      <c r="I71" s="27"/>
      <c r="J71" s="23"/>
      <c r="K71" s="24" t="s">
        <v>370</v>
      </c>
      <c r="L71" s="27"/>
    </row>
    <row r="72">
      <c r="A72" s="73" t="s">
        <v>5337</v>
      </c>
      <c r="B72" s="24" t="s">
        <v>109</v>
      </c>
      <c r="C72" s="21" t="s">
        <v>5179</v>
      </c>
      <c r="D72" s="21" t="s">
        <v>5179</v>
      </c>
      <c r="E72" s="21">
        <v>0.03</v>
      </c>
      <c r="F72" s="21">
        <v>0.14</v>
      </c>
      <c r="G72" s="21">
        <v>0.26</v>
      </c>
      <c r="H72" s="21"/>
      <c r="I72" s="27"/>
      <c r="J72" s="23"/>
      <c r="K72" s="24" t="s">
        <v>370</v>
      </c>
      <c r="L72" s="27"/>
    </row>
    <row r="73">
      <c r="A73" s="73" t="s">
        <v>5338</v>
      </c>
      <c r="B73" s="24" t="s">
        <v>109</v>
      </c>
      <c r="C73" s="21" t="s">
        <v>5180</v>
      </c>
      <c r="D73" s="21" t="s">
        <v>5180</v>
      </c>
      <c r="E73" s="21">
        <v>0.03</v>
      </c>
      <c r="F73" s="21">
        <v>0.102</v>
      </c>
      <c r="G73" s="21">
        <v>0.175</v>
      </c>
      <c r="H73" s="21"/>
      <c r="I73" s="27"/>
      <c r="J73" s="23"/>
      <c r="K73" s="24" t="s">
        <v>370</v>
      </c>
      <c r="L73" s="27"/>
    </row>
    <row r="74">
      <c r="A74" s="73" t="s">
        <v>5339</v>
      </c>
      <c r="B74" s="24" t="s">
        <v>109</v>
      </c>
      <c r="C74" s="21" t="s">
        <v>5181</v>
      </c>
      <c r="D74" s="21" t="s">
        <v>5181</v>
      </c>
      <c r="E74" s="21">
        <v>0.02</v>
      </c>
      <c r="F74" s="21">
        <v>0.14</v>
      </c>
      <c r="G74" s="21">
        <v>0.26</v>
      </c>
      <c r="H74" s="21"/>
      <c r="I74" s="27"/>
      <c r="J74" s="23"/>
      <c r="K74" s="24" t="s">
        <v>370</v>
      </c>
      <c r="L74" s="27"/>
    </row>
    <row r="75">
      <c r="A75" s="73" t="s">
        <v>5340</v>
      </c>
      <c r="B75" s="24" t="s">
        <v>109</v>
      </c>
      <c r="C75" s="21" t="s">
        <v>5182</v>
      </c>
      <c r="D75" s="21" t="s">
        <v>5182</v>
      </c>
      <c r="E75" s="21">
        <v>0.03</v>
      </c>
      <c r="F75" s="21">
        <v>0.102</v>
      </c>
      <c r="G75" s="21">
        <v>0.175</v>
      </c>
      <c r="H75" s="21"/>
      <c r="I75" s="27"/>
      <c r="J75" s="23"/>
      <c r="K75" s="24" t="s">
        <v>370</v>
      </c>
      <c r="L75" s="27"/>
    </row>
    <row r="76">
      <c r="A76" s="73" t="s">
        <v>5341</v>
      </c>
      <c r="B76" s="24" t="s">
        <v>340</v>
      </c>
      <c r="C76" s="21" t="s">
        <v>478</v>
      </c>
      <c r="D76" s="21" t="s">
        <v>478</v>
      </c>
      <c r="E76" s="21">
        <v>0.053</v>
      </c>
      <c r="F76" s="21">
        <v>0.053</v>
      </c>
      <c r="G76" s="21">
        <v>0.134</v>
      </c>
      <c r="H76" s="21"/>
      <c r="I76" s="27"/>
      <c r="J76" s="23"/>
      <c r="K76" s="24" t="s">
        <v>443</v>
      </c>
      <c r="L76" s="27"/>
    </row>
    <row r="77">
      <c r="A77" s="73" t="s">
        <v>5342</v>
      </c>
      <c r="B77" s="24" t="s">
        <v>340</v>
      </c>
      <c r="C77" s="21" t="s">
        <v>447</v>
      </c>
      <c r="D77" s="21" t="s">
        <v>447</v>
      </c>
      <c r="E77" s="21">
        <v>0.053</v>
      </c>
      <c r="F77" s="21">
        <v>0.053</v>
      </c>
      <c r="G77" s="21">
        <v>0.134</v>
      </c>
      <c r="H77" s="21"/>
      <c r="I77" s="27"/>
      <c r="J77" s="23"/>
      <c r="K77" s="24" t="s">
        <v>443</v>
      </c>
      <c r="L77" s="27"/>
    </row>
    <row r="78">
      <c r="A78" s="73" t="s">
        <v>5343</v>
      </c>
      <c r="B78" s="24" t="s">
        <v>340</v>
      </c>
      <c r="C78" s="21" t="s">
        <v>472</v>
      </c>
      <c r="D78" s="21" t="s">
        <v>472</v>
      </c>
      <c r="E78" s="21">
        <v>0.053</v>
      </c>
      <c r="F78" s="21">
        <v>0.053</v>
      </c>
      <c r="G78" s="21">
        <v>0.134</v>
      </c>
      <c r="H78" s="21"/>
      <c r="I78" s="27"/>
      <c r="J78" s="23"/>
      <c r="K78" s="24" t="s">
        <v>443</v>
      </c>
      <c r="L78" s="27"/>
    </row>
    <row r="79">
      <c r="A79" s="73" t="s">
        <v>5344</v>
      </c>
      <c r="B79" s="24" t="s">
        <v>340</v>
      </c>
      <c r="C79" s="21" t="s">
        <v>460</v>
      </c>
      <c r="D79" s="21" t="s">
        <v>460</v>
      </c>
      <c r="E79" s="21">
        <v>0.053</v>
      </c>
      <c r="F79" s="21">
        <v>0.053</v>
      </c>
      <c r="G79" s="21">
        <v>0.134</v>
      </c>
      <c r="H79" s="21"/>
      <c r="I79" s="27"/>
      <c r="J79" s="23"/>
      <c r="K79" s="24" t="s">
        <v>443</v>
      </c>
      <c r="L79" s="27"/>
    </row>
    <row r="80">
      <c r="A80" s="73" t="s">
        <v>5345</v>
      </c>
      <c r="B80" s="24" t="s">
        <v>340</v>
      </c>
      <c r="C80" s="21" t="s">
        <v>491</v>
      </c>
      <c r="D80" s="21" t="s">
        <v>491</v>
      </c>
      <c r="E80" s="21">
        <v>0.053</v>
      </c>
      <c r="F80" s="21">
        <v>0.053</v>
      </c>
      <c r="G80" s="21">
        <v>0.134</v>
      </c>
      <c r="H80" s="21"/>
      <c r="I80" s="27"/>
      <c r="J80" s="23"/>
      <c r="K80" s="24" t="s">
        <v>443</v>
      </c>
      <c r="L80" s="27"/>
    </row>
    <row r="81">
      <c r="A81" s="73" t="s">
        <v>5346</v>
      </c>
      <c r="B81" s="24" t="s">
        <v>340</v>
      </c>
      <c r="C81" s="21" t="s">
        <v>466</v>
      </c>
      <c r="D81" s="21" t="s">
        <v>466</v>
      </c>
      <c r="E81" s="21">
        <v>0.053</v>
      </c>
      <c r="F81" s="21">
        <v>0.053</v>
      </c>
      <c r="G81" s="21">
        <v>0.134</v>
      </c>
      <c r="H81" s="21"/>
      <c r="I81" s="27"/>
      <c r="J81" s="23"/>
      <c r="K81" s="24" t="s">
        <v>443</v>
      </c>
      <c r="L81" s="27"/>
    </row>
    <row r="82">
      <c r="A82" s="73" t="s">
        <v>5347</v>
      </c>
      <c r="B82" s="24" t="s">
        <v>340</v>
      </c>
      <c r="C82" s="21" t="s">
        <v>454</v>
      </c>
      <c r="D82" s="21" t="s">
        <v>454</v>
      </c>
      <c r="E82" s="21">
        <v>0.053</v>
      </c>
      <c r="F82" s="21">
        <v>0.053</v>
      </c>
      <c r="G82" s="21">
        <v>0.134</v>
      </c>
      <c r="H82" s="21"/>
      <c r="I82" s="27"/>
      <c r="J82" s="23"/>
      <c r="K82" s="24" t="s">
        <v>443</v>
      </c>
      <c r="L82" s="27"/>
    </row>
    <row r="83">
      <c r="A83" s="73" t="s">
        <v>5348</v>
      </c>
      <c r="B83" s="24" t="s">
        <v>340</v>
      </c>
      <c r="C83" s="21" t="s">
        <v>484</v>
      </c>
      <c r="D83" s="21" t="s">
        <v>484</v>
      </c>
      <c r="E83" s="21">
        <v>0.066</v>
      </c>
      <c r="F83" s="21">
        <v>0.066</v>
      </c>
      <c r="G83" s="21">
        <v>0.168</v>
      </c>
      <c r="H83" s="21"/>
      <c r="I83" s="27"/>
      <c r="J83" s="23"/>
      <c r="K83" s="24" t="s">
        <v>443</v>
      </c>
      <c r="L83" s="27"/>
    </row>
    <row r="84">
      <c r="A84" s="73" t="s">
        <v>5349</v>
      </c>
      <c r="B84" s="24" t="s">
        <v>109</v>
      </c>
      <c r="C84" s="21" t="s">
        <v>248</v>
      </c>
      <c r="D84" s="21" t="s">
        <v>248</v>
      </c>
      <c r="E84" s="21">
        <v>0.056</v>
      </c>
      <c r="F84" s="21">
        <v>0.128</v>
      </c>
      <c r="G84" s="21">
        <v>0.23</v>
      </c>
      <c r="H84" s="21"/>
      <c r="I84" s="27"/>
      <c r="J84" s="23"/>
      <c r="K84" s="24" t="s">
        <v>245</v>
      </c>
      <c r="L84" s="27"/>
    </row>
    <row r="85">
      <c r="A85" s="73" t="s">
        <v>5350</v>
      </c>
      <c r="B85" s="24" t="s">
        <v>109</v>
      </c>
      <c r="C85" s="21" t="s">
        <v>255</v>
      </c>
      <c r="D85" s="21" t="s">
        <v>255</v>
      </c>
      <c r="E85" s="21">
        <v>0.056</v>
      </c>
      <c r="F85" s="21">
        <v>0.128</v>
      </c>
      <c r="G85" s="21">
        <v>0.23</v>
      </c>
      <c r="H85" s="21"/>
      <c r="I85" s="27"/>
      <c r="J85" s="23"/>
      <c r="K85" s="24" t="s">
        <v>245</v>
      </c>
      <c r="L85" s="27"/>
    </row>
    <row r="86">
      <c r="A86" s="73" t="s">
        <v>5351</v>
      </c>
      <c r="B86" s="24" t="s">
        <v>109</v>
      </c>
      <c r="C86" s="21" t="s">
        <v>261</v>
      </c>
      <c r="D86" s="21" t="s">
        <v>261</v>
      </c>
      <c r="E86" s="21">
        <v>0.056</v>
      </c>
      <c r="F86" s="21">
        <v>0.128</v>
      </c>
      <c r="G86" s="21">
        <v>0.23</v>
      </c>
      <c r="H86" s="21"/>
      <c r="I86" s="27"/>
      <c r="J86" s="23"/>
      <c r="K86" s="24" t="s">
        <v>245</v>
      </c>
      <c r="L86" s="27"/>
    </row>
    <row r="87">
      <c r="A87" s="73" t="s">
        <v>5352</v>
      </c>
      <c r="B87" s="24" t="s">
        <v>109</v>
      </c>
      <c r="C87" s="21" t="s">
        <v>266</v>
      </c>
      <c r="D87" s="21" t="s">
        <v>266</v>
      </c>
      <c r="E87" s="21">
        <v>0.036</v>
      </c>
      <c r="F87" s="21">
        <v>0.14</v>
      </c>
      <c r="G87" s="21">
        <v>0.175</v>
      </c>
      <c r="H87" s="21"/>
      <c r="I87" s="27"/>
      <c r="J87" s="23"/>
      <c r="K87" s="24" t="s">
        <v>245</v>
      </c>
      <c r="L87" s="27"/>
    </row>
    <row r="88">
      <c r="A88" s="73" t="s">
        <v>5353</v>
      </c>
      <c r="B88" s="24" t="s">
        <v>109</v>
      </c>
      <c r="C88" s="21" t="s">
        <v>271</v>
      </c>
      <c r="D88" s="21" t="s">
        <v>271</v>
      </c>
      <c r="E88" s="21">
        <v>0.07</v>
      </c>
      <c r="F88" s="21">
        <v>0.19</v>
      </c>
      <c r="G88" s="21">
        <v>0.25</v>
      </c>
      <c r="H88" s="21"/>
      <c r="I88" s="27"/>
      <c r="J88" s="23"/>
      <c r="K88" s="24" t="s">
        <v>245</v>
      </c>
      <c r="L88" s="27"/>
    </row>
    <row r="89">
      <c r="A89" s="73" t="s">
        <v>5354</v>
      </c>
      <c r="B89" s="24" t="s">
        <v>185</v>
      </c>
      <c r="C89" s="21" t="s">
        <v>193</v>
      </c>
      <c r="D89" s="21" t="s">
        <v>193</v>
      </c>
      <c r="E89" s="21">
        <v>0.03</v>
      </c>
      <c r="F89" s="21">
        <v>0.08</v>
      </c>
      <c r="G89" s="21">
        <v>0.112</v>
      </c>
      <c r="H89" s="21"/>
      <c r="I89" s="27"/>
      <c r="J89" s="23"/>
      <c r="K89" s="24" t="s">
        <v>191</v>
      </c>
      <c r="L89" s="27"/>
    </row>
    <row r="90">
      <c r="A90" s="73" t="s">
        <v>5355</v>
      </c>
      <c r="B90" s="24" t="s">
        <v>365</v>
      </c>
      <c r="C90" s="21" t="s">
        <v>363</v>
      </c>
      <c r="D90" s="21" t="s">
        <v>363</v>
      </c>
      <c r="E90" s="21">
        <v>0.06</v>
      </c>
      <c r="F90" s="21">
        <v>0.06</v>
      </c>
      <c r="G90" s="21">
        <v>0.22</v>
      </c>
      <c r="H90" s="21"/>
      <c r="I90" s="27"/>
      <c r="J90" s="23"/>
      <c r="K90" s="24" t="s">
        <v>359</v>
      </c>
      <c r="L90" s="27"/>
    </row>
    <row r="91">
      <c r="A91" s="73" t="s">
        <v>5356</v>
      </c>
      <c r="B91" s="24" t="s">
        <v>280</v>
      </c>
      <c r="C91" s="21" t="s">
        <v>278</v>
      </c>
      <c r="D91" s="21" t="s">
        <v>278</v>
      </c>
      <c r="E91" s="21">
        <v>0.01</v>
      </c>
      <c r="F91" s="21">
        <v>0.125</v>
      </c>
      <c r="G91" s="21">
        <v>0.03</v>
      </c>
      <c r="H91" s="21"/>
      <c r="I91" s="27"/>
      <c r="J91" s="23"/>
      <c r="K91" s="24" t="s">
        <v>275</v>
      </c>
      <c r="L91" s="27"/>
    </row>
    <row r="92">
      <c r="A92" s="73" t="s">
        <v>5357</v>
      </c>
      <c r="B92" s="24" t="s">
        <v>280</v>
      </c>
      <c r="C92" s="21" t="s">
        <v>293</v>
      </c>
      <c r="D92" s="21" t="s">
        <v>293</v>
      </c>
      <c r="E92" s="21">
        <v>0.01</v>
      </c>
      <c r="F92" s="21">
        <v>0.125</v>
      </c>
      <c r="G92" s="21">
        <v>0.03</v>
      </c>
      <c r="H92" s="21"/>
      <c r="I92" s="27"/>
      <c r="J92" s="23"/>
      <c r="K92" s="24" t="s">
        <v>275</v>
      </c>
      <c r="L92" s="27"/>
    </row>
    <row r="93">
      <c r="A93" s="73" t="s">
        <v>5358</v>
      </c>
      <c r="B93" s="24" t="s">
        <v>280</v>
      </c>
      <c r="C93" s="21" t="s">
        <v>299</v>
      </c>
      <c r="D93" s="21" t="s">
        <v>299</v>
      </c>
      <c r="E93" s="21">
        <v>0.01</v>
      </c>
      <c r="F93" s="21">
        <v>0.125</v>
      </c>
      <c r="G93" s="21">
        <v>0.03</v>
      </c>
      <c r="H93" s="21"/>
      <c r="I93" s="27"/>
      <c r="J93" s="23"/>
      <c r="K93" s="24" t="s">
        <v>275</v>
      </c>
      <c r="L93" s="27"/>
    </row>
    <row r="94">
      <c r="A94" s="73" t="s">
        <v>5359</v>
      </c>
      <c r="B94" s="24" t="s">
        <v>280</v>
      </c>
      <c r="C94" s="21" t="s">
        <v>287</v>
      </c>
      <c r="D94" s="21" t="s">
        <v>287</v>
      </c>
      <c r="E94" s="21">
        <v>0.01</v>
      </c>
      <c r="F94" s="21">
        <v>0.125</v>
      </c>
      <c r="G94" s="21">
        <v>0.03</v>
      </c>
      <c r="H94" s="21"/>
      <c r="I94" s="27"/>
      <c r="J94" s="23"/>
      <c r="K94" s="24" t="s">
        <v>275</v>
      </c>
      <c r="L94" s="27"/>
    </row>
    <row r="95">
      <c r="A95" s="73" t="s">
        <v>5360</v>
      </c>
      <c r="B95" s="24" t="s">
        <v>512</v>
      </c>
      <c r="C95" s="21" t="s">
        <v>510</v>
      </c>
      <c r="D95" s="21" t="s">
        <v>510</v>
      </c>
      <c r="E95" s="21">
        <v>0.05</v>
      </c>
      <c r="F95" s="21">
        <v>0.05</v>
      </c>
      <c r="G95" s="21">
        <v>0.215</v>
      </c>
      <c r="H95" s="21"/>
      <c r="I95" s="27"/>
      <c r="J95" s="23"/>
      <c r="K95" s="24" t="s">
        <v>506</v>
      </c>
      <c r="L95" s="27"/>
    </row>
    <row r="96">
      <c r="A96" s="73" t="s">
        <v>5361</v>
      </c>
      <c r="B96" s="24" t="s">
        <v>512</v>
      </c>
      <c r="C96" s="21" t="s">
        <v>525</v>
      </c>
      <c r="D96" s="21" t="s">
        <v>525</v>
      </c>
      <c r="E96" s="21">
        <v>0.058</v>
      </c>
      <c r="F96" s="21">
        <v>0.058</v>
      </c>
      <c r="G96" s="21">
        <v>0.212</v>
      </c>
      <c r="H96" s="21"/>
      <c r="I96" s="27"/>
      <c r="J96" s="23"/>
      <c r="K96" s="24" t="s">
        <v>506</v>
      </c>
      <c r="L96" s="27"/>
    </row>
    <row r="97">
      <c r="A97" s="73" t="s">
        <v>5362</v>
      </c>
      <c r="B97" s="24" t="s">
        <v>512</v>
      </c>
      <c r="C97" s="21" t="s">
        <v>519</v>
      </c>
      <c r="D97" s="21" t="s">
        <v>519</v>
      </c>
      <c r="E97" s="21">
        <v>0.058</v>
      </c>
      <c r="F97" s="21">
        <v>0.058</v>
      </c>
      <c r="G97" s="21">
        <v>0.212</v>
      </c>
      <c r="H97" s="21"/>
      <c r="I97" s="27"/>
      <c r="J97" s="23"/>
      <c r="K97" s="24" t="s">
        <v>506</v>
      </c>
      <c r="L97" s="27"/>
    </row>
    <row r="98">
      <c r="A98" s="73" t="s">
        <v>5363</v>
      </c>
      <c r="B98" s="24" t="s">
        <v>1555</v>
      </c>
      <c r="C98" s="21" t="s">
        <v>2011</v>
      </c>
      <c r="D98" s="21" t="s">
        <v>2011</v>
      </c>
      <c r="E98" s="21">
        <v>0.06</v>
      </c>
      <c r="F98" s="21">
        <v>0.06</v>
      </c>
      <c r="G98" s="21">
        <v>0.193</v>
      </c>
      <c r="H98" s="21"/>
      <c r="I98" s="27"/>
      <c r="J98" s="23"/>
      <c r="K98" s="24" t="s">
        <v>2008</v>
      </c>
      <c r="L98" s="27"/>
    </row>
    <row r="99">
      <c r="A99" s="73" t="s">
        <v>5364</v>
      </c>
      <c r="B99" s="24" t="s">
        <v>1555</v>
      </c>
      <c r="C99" s="21" t="s">
        <v>2017</v>
      </c>
      <c r="D99" s="21" t="s">
        <v>2017</v>
      </c>
      <c r="E99" s="21">
        <v>0.06</v>
      </c>
      <c r="F99" s="21">
        <v>0.06</v>
      </c>
      <c r="G99" s="21">
        <v>0.193</v>
      </c>
      <c r="H99" s="21"/>
      <c r="I99" s="27"/>
      <c r="J99" s="23"/>
      <c r="K99" s="24" t="s">
        <v>2008</v>
      </c>
      <c r="L99" s="27"/>
    </row>
    <row r="100">
      <c r="A100" s="73" t="s">
        <v>5365</v>
      </c>
      <c r="B100" s="24" t="s">
        <v>1555</v>
      </c>
      <c r="C100" s="21" t="s">
        <v>1983</v>
      </c>
      <c r="D100" s="21" t="s">
        <v>1983</v>
      </c>
      <c r="E100" s="21">
        <v>0.068</v>
      </c>
      <c r="F100" s="21">
        <v>0.068</v>
      </c>
      <c r="G100" s="21">
        <v>0.175</v>
      </c>
      <c r="H100" s="21"/>
      <c r="I100" s="27"/>
      <c r="J100" s="23"/>
      <c r="K100" s="24" t="s">
        <v>1950</v>
      </c>
      <c r="L100" s="27"/>
    </row>
    <row r="101">
      <c r="A101" s="73" t="s">
        <v>5366</v>
      </c>
      <c r="B101" s="24" t="s">
        <v>1555</v>
      </c>
      <c r="C101" s="21" t="s">
        <v>1953</v>
      </c>
      <c r="D101" s="21" t="s">
        <v>1953</v>
      </c>
      <c r="E101" s="21">
        <v>0.068</v>
      </c>
      <c r="F101" s="21">
        <v>0.068</v>
      </c>
      <c r="G101" s="21">
        <v>0.175</v>
      </c>
      <c r="H101" s="21"/>
      <c r="I101" s="27"/>
      <c r="J101" s="23"/>
      <c r="K101" s="24" t="s">
        <v>1950</v>
      </c>
      <c r="L101" s="27"/>
    </row>
    <row r="102">
      <c r="A102" s="73" t="s">
        <v>5367</v>
      </c>
      <c r="B102" s="24" t="s">
        <v>1555</v>
      </c>
      <c r="C102" s="21" t="s">
        <v>1977</v>
      </c>
      <c r="D102" s="21" t="s">
        <v>1977</v>
      </c>
      <c r="E102" s="21">
        <v>0.068</v>
      </c>
      <c r="F102" s="21">
        <v>0.068</v>
      </c>
      <c r="G102" s="21">
        <v>0.175</v>
      </c>
      <c r="H102" s="21"/>
      <c r="I102" s="27"/>
      <c r="J102" s="23"/>
      <c r="K102" s="24" t="s">
        <v>1950</v>
      </c>
      <c r="L102" s="27"/>
    </row>
    <row r="103">
      <c r="A103" s="73" t="s">
        <v>5368</v>
      </c>
      <c r="B103" s="24" t="s">
        <v>1555</v>
      </c>
      <c r="C103" s="21" t="s">
        <v>1959</v>
      </c>
      <c r="D103" s="21" t="s">
        <v>1959</v>
      </c>
      <c r="E103" s="21">
        <v>0.07</v>
      </c>
      <c r="F103" s="21">
        <v>0.08</v>
      </c>
      <c r="G103" s="21">
        <v>0.24</v>
      </c>
      <c r="H103" s="21"/>
      <c r="I103" s="27"/>
      <c r="J103" s="23"/>
      <c r="K103" s="24" t="s">
        <v>1950</v>
      </c>
      <c r="L103" s="27"/>
    </row>
    <row r="104">
      <c r="A104" s="73" t="s">
        <v>5369</v>
      </c>
      <c r="B104" s="24" t="s">
        <v>1555</v>
      </c>
      <c r="C104" s="21" t="s">
        <v>1971</v>
      </c>
      <c r="D104" s="21" t="s">
        <v>1971</v>
      </c>
      <c r="E104" s="21">
        <v>0.07</v>
      </c>
      <c r="F104" s="21">
        <v>0.08</v>
      </c>
      <c r="G104" s="21">
        <v>0.24</v>
      </c>
      <c r="H104" s="21"/>
      <c r="I104" s="27"/>
      <c r="J104" s="23"/>
      <c r="K104" s="24" t="s">
        <v>1950</v>
      </c>
      <c r="L104" s="27"/>
    </row>
    <row r="105">
      <c r="A105" s="73" t="s">
        <v>5370</v>
      </c>
      <c r="B105" s="24" t="s">
        <v>1555</v>
      </c>
      <c r="C105" s="21" t="s">
        <v>1965</v>
      </c>
      <c r="D105" s="21" t="s">
        <v>1965</v>
      </c>
      <c r="E105" s="21">
        <v>0.07</v>
      </c>
      <c r="F105" s="21">
        <v>0.08</v>
      </c>
      <c r="G105" s="21">
        <v>0.24</v>
      </c>
      <c r="H105" s="21"/>
      <c r="I105" s="27"/>
      <c r="J105" s="23"/>
      <c r="K105" s="24" t="s">
        <v>1950</v>
      </c>
      <c r="L105" s="27"/>
    </row>
    <row r="106">
      <c r="A106" s="73" t="s">
        <v>5371</v>
      </c>
      <c r="B106" s="24" t="s">
        <v>1555</v>
      </c>
      <c r="C106" s="21" t="s">
        <v>1989</v>
      </c>
      <c r="D106" s="21" t="s">
        <v>1989</v>
      </c>
      <c r="E106" s="21">
        <v>0.07</v>
      </c>
      <c r="F106" s="21">
        <v>0.08</v>
      </c>
      <c r="G106" s="21">
        <v>0.24</v>
      </c>
      <c r="H106" s="21"/>
      <c r="I106" s="27"/>
      <c r="J106" s="23"/>
      <c r="K106" s="24" t="s">
        <v>1950</v>
      </c>
      <c r="L106" s="27"/>
    </row>
    <row r="107">
      <c r="A107" s="73" t="s">
        <v>5372</v>
      </c>
      <c r="B107" s="24" t="s">
        <v>501</v>
      </c>
      <c r="C107" s="21" t="s">
        <v>1688</v>
      </c>
      <c r="D107" s="21" t="s">
        <v>1688</v>
      </c>
      <c r="E107" s="21">
        <v>0.02</v>
      </c>
      <c r="F107" s="21">
        <v>0.16</v>
      </c>
      <c r="G107" s="21">
        <v>0.05</v>
      </c>
      <c r="H107" s="21"/>
      <c r="I107" s="27"/>
      <c r="J107" s="23"/>
      <c r="K107" s="24" t="s">
        <v>1679</v>
      </c>
      <c r="L107" s="27"/>
    </row>
    <row r="108">
      <c r="A108" s="73" t="s">
        <v>5373</v>
      </c>
      <c r="B108" s="24" t="s">
        <v>501</v>
      </c>
      <c r="C108" s="21" t="s">
        <v>1700</v>
      </c>
      <c r="D108" s="21" t="s">
        <v>1700</v>
      </c>
      <c r="E108" s="21">
        <v>0.02</v>
      </c>
      <c r="F108" s="21">
        <v>0.16</v>
      </c>
      <c r="G108" s="21">
        <v>0.05</v>
      </c>
      <c r="H108" s="21"/>
      <c r="I108" s="27"/>
      <c r="J108" s="23"/>
      <c r="K108" s="24" t="s">
        <v>1679</v>
      </c>
      <c r="L108" s="27"/>
    </row>
    <row r="109">
      <c r="A109" s="73" t="s">
        <v>5374</v>
      </c>
      <c r="B109" s="24" t="s">
        <v>501</v>
      </c>
      <c r="C109" s="21" t="s">
        <v>1694</v>
      </c>
      <c r="D109" s="21" t="s">
        <v>1694</v>
      </c>
      <c r="E109" s="21">
        <v>0.02</v>
      </c>
      <c r="F109" s="21">
        <v>0.16</v>
      </c>
      <c r="G109" s="21">
        <v>0.05</v>
      </c>
      <c r="H109" s="21"/>
      <c r="I109" s="27"/>
      <c r="J109" s="23"/>
      <c r="K109" s="24" t="s">
        <v>1679</v>
      </c>
      <c r="L109" s="27"/>
    </row>
    <row r="110">
      <c r="A110" s="73" t="s">
        <v>5375</v>
      </c>
      <c r="B110" s="24" t="s">
        <v>501</v>
      </c>
      <c r="C110" s="21" t="s">
        <v>1682</v>
      </c>
      <c r="D110" s="21" t="s">
        <v>1682</v>
      </c>
      <c r="E110" s="21">
        <v>0.02</v>
      </c>
      <c r="F110" s="21">
        <v>0.16</v>
      </c>
      <c r="G110" s="21">
        <v>0.05</v>
      </c>
      <c r="H110" s="21"/>
      <c r="I110" s="27"/>
      <c r="J110" s="23"/>
      <c r="K110" s="24" t="s">
        <v>1679</v>
      </c>
      <c r="L110" s="27"/>
    </row>
    <row r="111">
      <c r="A111" s="73" t="s">
        <v>5376</v>
      </c>
      <c r="B111" s="24" t="s">
        <v>365</v>
      </c>
      <c r="C111" s="21" t="s">
        <v>1733</v>
      </c>
      <c r="D111" s="21" t="s">
        <v>1733</v>
      </c>
      <c r="E111" s="21">
        <v>0.06</v>
      </c>
      <c r="F111" s="21">
        <v>0.06</v>
      </c>
      <c r="G111" s="21">
        <v>0.228</v>
      </c>
      <c r="H111" s="21"/>
      <c r="I111" s="27"/>
      <c r="J111" s="23"/>
      <c r="K111" s="24" t="s">
        <v>1730</v>
      </c>
      <c r="L111" s="27"/>
    </row>
    <row r="112">
      <c r="A112" s="73" t="s">
        <v>5377</v>
      </c>
      <c r="B112" s="24" t="s">
        <v>365</v>
      </c>
      <c r="C112" s="21" t="s">
        <v>1751</v>
      </c>
      <c r="D112" s="21" t="s">
        <v>1751</v>
      </c>
      <c r="E112" s="21">
        <v>0.06</v>
      </c>
      <c r="F112" s="21">
        <v>0.06</v>
      </c>
      <c r="G112" s="21">
        <v>0.228</v>
      </c>
      <c r="H112" s="21"/>
      <c r="I112" s="27"/>
      <c r="J112" s="23"/>
      <c r="K112" s="24" t="s">
        <v>1730</v>
      </c>
      <c r="L112" s="27"/>
    </row>
    <row r="113">
      <c r="A113" s="73" t="s">
        <v>5378</v>
      </c>
      <c r="B113" s="24" t="s">
        <v>365</v>
      </c>
      <c r="C113" s="21" t="s">
        <v>1739</v>
      </c>
      <c r="D113" s="21" t="s">
        <v>1739</v>
      </c>
      <c r="E113" s="21">
        <v>0.065</v>
      </c>
      <c r="F113" s="21">
        <v>0.065</v>
      </c>
      <c r="G113" s="21">
        <v>0.17</v>
      </c>
      <c r="H113" s="21"/>
      <c r="I113" s="27"/>
      <c r="J113" s="23"/>
      <c r="K113" s="24" t="s">
        <v>1730</v>
      </c>
      <c r="L113" s="27"/>
    </row>
    <row r="114">
      <c r="A114" s="73" t="s">
        <v>5379</v>
      </c>
      <c r="B114" s="24" t="s">
        <v>365</v>
      </c>
      <c r="C114" s="21" t="s">
        <v>1745</v>
      </c>
      <c r="D114" s="21" t="s">
        <v>1745</v>
      </c>
      <c r="E114" s="21">
        <v>0.065</v>
      </c>
      <c r="F114" s="21">
        <v>0.065</v>
      </c>
      <c r="G114" s="21">
        <v>0.17</v>
      </c>
      <c r="H114" s="21"/>
      <c r="I114" s="27"/>
      <c r="J114" s="23"/>
      <c r="K114" s="24" t="s">
        <v>1730</v>
      </c>
      <c r="L114" s="27"/>
    </row>
    <row r="115">
      <c r="A115" s="73" t="s">
        <v>5380</v>
      </c>
      <c r="B115" s="24" t="s">
        <v>1555</v>
      </c>
      <c r="C115" s="21" t="s">
        <v>1996</v>
      </c>
      <c r="D115" s="21" t="s">
        <v>1996</v>
      </c>
      <c r="E115" s="21">
        <v>0.068</v>
      </c>
      <c r="F115" s="21">
        <v>0.068</v>
      </c>
      <c r="G115" s="21">
        <v>0.175</v>
      </c>
      <c r="H115" s="21"/>
      <c r="I115" s="27"/>
      <c r="J115" s="23"/>
      <c r="K115" s="24" t="s">
        <v>1994</v>
      </c>
      <c r="L115" s="27"/>
    </row>
    <row r="116">
      <c r="A116" s="73" t="s">
        <v>5381</v>
      </c>
      <c r="B116" s="24" t="s">
        <v>1761</v>
      </c>
      <c r="C116" s="21" t="s">
        <v>1759</v>
      </c>
      <c r="D116" s="21" t="s">
        <v>1759</v>
      </c>
      <c r="E116" s="21">
        <v>0.035</v>
      </c>
      <c r="F116" s="21">
        <v>0.134</v>
      </c>
      <c r="G116" s="21">
        <v>0.154</v>
      </c>
      <c r="H116" s="21"/>
      <c r="I116" s="27"/>
      <c r="J116" s="23"/>
      <c r="K116" s="24" t="s">
        <v>1756</v>
      </c>
      <c r="L116" s="27"/>
    </row>
    <row r="117">
      <c r="A117" s="73" t="s">
        <v>5382</v>
      </c>
      <c r="B117" s="24" t="s">
        <v>340</v>
      </c>
      <c r="C117" s="21" t="s">
        <v>1650</v>
      </c>
      <c r="D117" s="21" t="s">
        <v>1650</v>
      </c>
      <c r="E117" s="21">
        <v>0.062</v>
      </c>
      <c r="F117" s="21">
        <v>0.062</v>
      </c>
      <c r="G117" s="21">
        <v>0.24</v>
      </c>
      <c r="H117" s="21"/>
      <c r="I117" s="27"/>
      <c r="J117" s="23"/>
      <c r="K117" s="24" t="s">
        <v>1639</v>
      </c>
      <c r="L117" s="27"/>
    </row>
    <row r="118">
      <c r="A118" s="73" t="s">
        <v>5383</v>
      </c>
      <c r="B118" s="24" t="s">
        <v>340</v>
      </c>
      <c r="C118" s="21" t="s">
        <v>1643</v>
      </c>
      <c r="D118" s="21" t="s">
        <v>1643</v>
      </c>
      <c r="E118" s="21">
        <v>0.062</v>
      </c>
      <c r="F118" s="21">
        <v>0.062</v>
      </c>
      <c r="G118" s="21">
        <v>0.24</v>
      </c>
      <c r="H118" s="21"/>
      <c r="I118" s="27"/>
      <c r="J118" s="23"/>
      <c r="K118" s="24" t="s">
        <v>1639</v>
      </c>
      <c r="L118" s="27"/>
    </row>
    <row r="119">
      <c r="A119" s="73" t="s">
        <v>5384</v>
      </c>
      <c r="B119" s="24" t="s">
        <v>1262</v>
      </c>
      <c r="C119" s="21" t="s">
        <v>1943</v>
      </c>
      <c r="D119" s="21" t="s">
        <v>1943</v>
      </c>
      <c r="E119" s="21">
        <v>0.02</v>
      </c>
      <c r="F119" s="21">
        <v>0.061</v>
      </c>
      <c r="G119" s="21">
        <v>0.09999999</v>
      </c>
      <c r="H119" s="21"/>
      <c r="I119" s="27"/>
      <c r="J119" s="23"/>
      <c r="K119" s="24" t="s">
        <v>1940</v>
      </c>
      <c r="L119" s="27"/>
    </row>
    <row r="120">
      <c r="A120" s="73" t="s">
        <v>5385</v>
      </c>
      <c r="B120" s="24" t="s">
        <v>975</v>
      </c>
      <c r="C120" s="21" t="s">
        <v>1658</v>
      </c>
      <c r="D120" s="21" t="s">
        <v>1658</v>
      </c>
      <c r="E120" s="21">
        <v>0.075</v>
      </c>
      <c r="F120" s="21">
        <v>0.07</v>
      </c>
      <c r="G120" s="21">
        <v>0.08</v>
      </c>
      <c r="H120" s="21"/>
      <c r="I120" s="27"/>
      <c r="J120" s="23"/>
      <c r="K120" s="24" t="s">
        <v>1655</v>
      </c>
      <c r="L120" s="27"/>
    </row>
    <row r="121">
      <c r="A121" s="73" t="s">
        <v>5386</v>
      </c>
      <c r="B121" s="24" t="s">
        <v>109</v>
      </c>
      <c r="C121" s="21" t="s">
        <v>1130</v>
      </c>
      <c r="D121" s="21" t="s">
        <v>1130</v>
      </c>
      <c r="E121" s="21">
        <v>0.055</v>
      </c>
      <c r="F121" s="21">
        <v>0.145</v>
      </c>
      <c r="G121" s="21">
        <v>0.189</v>
      </c>
      <c r="H121" s="21"/>
      <c r="I121" s="27"/>
      <c r="J121" s="23"/>
      <c r="K121" s="24" t="s">
        <v>1127</v>
      </c>
      <c r="L121" s="27"/>
    </row>
    <row r="122">
      <c r="A122" s="73" t="s">
        <v>5387</v>
      </c>
      <c r="B122" s="24" t="s">
        <v>109</v>
      </c>
      <c r="C122" s="21" t="s">
        <v>1136</v>
      </c>
      <c r="D122" s="21" t="s">
        <v>1136</v>
      </c>
      <c r="E122" s="21">
        <v>0.055</v>
      </c>
      <c r="F122" s="21">
        <v>0.145</v>
      </c>
      <c r="G122" s="21">
        <v>0.189</v>
      </c>
      <c r="H122" s="21"/>
      <c r="I122" s="27"/>
      <c r="J122" s="23"/>
      <c r="K122" s="24" t="s">
        <v>1127</v>
      </c>
      <c r="L122" s="27"/>
    </row>
    <row r="123">
      <c r="A123" s="73" t="s">
        <v>5388</v>
      </c>
      <c r="B123" s="24" t="s">
        <v>109</v>
      </c>
      <c r="C123" s="21" t="s">
        <v>1118</v>
      </c>
      <c r="D123" s="21" t="s">
        <v>1118</v>
      </c>
      <c r="E123" s="21">
        <v>0.07</v>
      </c>
      <c r="F123" s="21">
        <v>0.1675</v>
      </c>
      <c r="G123" s="21">
        <v>0.31</v>
      </c>
      <c r="H123" s="21"/>
      <c r="I123" s="27"/>
      <c r="J123" s="23"/>
      <c r="K123" s="24" t="s">
        <v>1089</v>
      </c>
      <c r="L123" s="27"/>
    </row>
    <row r="124">
      <c r="A124" s="73" t="s">
        <v>5389</v>
      </c>
      <c r="B124" s="24" t="s">
        <v>109</v>
      </c>
      <c r="C124" s="21" t="s">
        <v>1123</v>
      </c>
      <c r="D124" s="21" t="s">
        <v>1123</v>
      </c>
      <c r="E124" s="21">
        <v>0.05</v>
      </c>
      <c r="F124" s="21">
        <v>0.133</v>
      </c>
      <c r="G124" s="21">
        <v>0.21</v>
      </c>
      <c r="H124" s="21"/>
      <c r="I124" s="27"/>
      <c r="J124" s="23"/>
      <c r="K124" s="24" t="s">
        <v>1089</v>
      </c>
      <c r="L124" s="27"/>
    </row>
    <row r="125">
      <c r="A125" s="73" t="s">
        <v>5390</v>
      </c>
      <c r="B125" s="24" t="s">
        <v>109</v>
      </c>
      <c r="C125" s="21" t="s">
        <v>1092</v>
      </c>
      <c r="D125" s="21" t="s">
        <v>1092</v>
      </c>
      <c r="E125" s="21">
        <v>0.07</v>
      </c>
      <c r="F125" s="21">
        <v>0.1675</v>
      </c>
      <c r="G125" s="21">
        <v>0.31</v>
      </c>
      <c r="H125" s="21"/>
      <c r="I125" s="27"/>
      <c r="J125" s="23"/>
      <c r="K125" s="24" t="s">
        <v>1089</v>
      </c>
      <c r="L125" s="27"/>
    </row>
    <row r="126">
      <c r="A126" s="73" t="s">
        <v>5391</v>
      </c>
      <c r="B126" s="24" t="s">
        <v>109</v>
      </c>
      <c r="C126" s="21" t="s">
        <v>1098</v>
      </c>
      <c r="D126" s="21" t="s">
        <v>1098</v>
      </c>
      <c r="E126" s="21">
        <v>0.05</v>
      </c>
      <c r="F126" s="21">
        <v>0.133</v>
      </c>
      <c r="G126" s="21">
        <v>0.21</v>
      </c>
      <c r="H126" s="21"/>
      <c r="I126" s="27"/>
      <c r="J126" s="23"/>
      <c r="K126" s="24" t="s">
        <v>1089</v>
      </c>
      <c r="L126" s="27"/>
    </row>
    <row r="127">
      <c r="A127" s="73" t="s">
        <v>5392</v>
      </c>
      <c r="B127" s="24" t="s">
        <v>109</v>
      </c>
      <c r="C127" s="21" t="s">
        <v>1108</v>
      </c>
      <c r="D127" s="21" t="s">
        <v>1108</v>
      </c>
      <c r="E127" s="21">
        <v>0.07</v>
      </c>
      <c r="F127" s="21">
        <v>0.1675</v>
      </c>
      <c r="G127" s="21">
        <v>0.31</v>
      </c>
      <c r="H127" s="21"/>
      <c r="I127" s="27"/>
      <c r="J127" s="23"/>
      <c r="K127" s="24" t="s">
        <v>1089</v>
      </c>
      <c r="L127" s="27"/>
    </row>
    <row r="128">
      <c r="A128" s="73" t="s">
        <v>5393</v>
      </c>
      <c r="B128" s="24" t="s">
        <v>109</v>
      </c>
      <c r="C128" s="21" t="s">
        <v>1113</v>
      </c>
      <c r="D128" s="21" t="s">
        <v>1113</v>
      </c>
      <c r="E128" s="21">
        <v>0.05</v>
      </c>
      <c r="F128" s="21">
        <v>0.133</v>
      </c>
      <c r="G128" s="21">
        <v>0.21</v>
      </c>
      <c r="H128" s="21"/>
      <c r="I128" s="27"/>
      <c r="J128" s="23"/>
      <c r="K128" s="24" t="s">
        <v>1089</v>
      </c>
      <c r="L128" s="27"/>
    </row>
    <row r="129">
      <c r="A129" s="73" t="s">
        <v>5394</v>
      </c>
      <c r="B129" s="24" t="s">
        <v>109</v>
      </c>
      <c r="C129" s="21" t="s">
        <v>1103</v>
      </c>
      <c r="D129" s="21" t="s">
        <v>1103</v>
      </c>
      <c r="E129" s="21">
        <v>0.05</v>
      </c>
      <c r="F129" s="21">
        <v>0.133</v>
      </c>
      <c r="G129" s="21">
        <v>0.21</v>
      </c>
      <c r="H129" s="21"/>
      <c r="I129" s="27"/>
      <c r="J129" s="23"/>
      <c r="K129" s="24" t="s">
        <v>1089</v>
      </c>
      <c r="L129" s="27"/>
    </row>
    <row r="130">
      <c r="A130" s="73" t="s">
        <v>5395</v>
      </c>
      <c r="B130" s="24" t="s">
        <v>1021</v>
      </c>
      <c r="C130" s="21" t="s">
        <v>1056</v>
      </c>
      <c r="D130" s="21" t="s">
        <v>1056</v>
      </c>
      <c r="E130" s="21">
        <v>0.075</v>
      </c>
      <c r="F130" s="21">
        <v>0.073</v>
      </c>
      <c r="G130" s="21">
        <v>0.072</v>
      </c>
      <c r="H130" s="21"/>
      <c r="I130" s="27"/>
      <c r="J130" s="23"/>
      <c r="K130" s="24" t="s">
        <v>1016</v>
      </c>
      <c r="L130" s="27"/>
    </row>
    <row r="131">
      <c r="A131" s="73" t="s">
        <v>5396</v>
      </c>
      <c r="B131" s="24" t="s">
        <v>1021</v>
      </c>
      <c r="C131" s="21" t="s">
        <v>1028</v>
      </c>
      <c r="D131" s="21" t="s">
        <v>1028</v>
      </c>
      <c r="E131" s="21">
        <v>0.045</v>
      </c>
      <c r="F131" s="21">
        <v>0.13</v>
      </c>
      <c r="G131" s="21">
        <v>0.075</v>
      </c>
      <c r="H131" s="21"/>
      <c r="I131" s="27"/>
      <c r="J131" s="23"/>
      <c r="K131" s="24" t="s">
        <v>1016</v>
      </c>
      <c r="L131" s="27"/>
    </row>
    <row r="132">
      <c r="A132" s="73" t="s">
        <v>5397</v>
      </c>
      <c r="B132" s="24" t="s">
        <v>1021</v>
      </c>
      <c r="C132" s="21" t="s">
        <v>1050</v>
      </c>
      <c r="D132" s="21" t="s">
        <v>1050</v>
      </c>
      <c r="E132" s="21">
        <v>0.045</v>
      </c>
      <c r="F132" s="21">
        <v>0.13</v>
      </c>
      <c r="G132" s="21">
        <v>0.075</v>
      </c>
      <c r="H132" s="21"/>
      <c r="I132" s="27"/>
      <c r="J132" s="23"/>
      <c r="K132" s="24" t="s">
        <v>1016</v>
      </c>
      <c r="L132" s="27"/>
    </row>
    <row r="133">
      <c r="A133" s="73" t="s">
        <v>5398</v>
      </c>
      <c r="B133" s="24" t="s">
        <v>1021</v>
      </c>
      <c r="C133" s="21" t="s">
        <v>1019</v>
      </c>
      <c r="D133" s="21" t="s">
        <v>1019</v>
      </c>
      <c r="E133" s="21">
        <v>0.095</v>
      </c>
      <c r="F133" s="21">
        <v>0.073</v>
      </c>
      <c r="G133" s="21">
        <v>0.07</v>
      </c>
      <c r="H133" s="21"/>
      <c r="I133" s="27"/>
      <c r="J133" s="23"/>
      <c r="K133" s="24" t="s">
        <v>1016</v>
      </c>
      <c r="L133" s="27"/>
    </row>
    <row r="134">
      <c r="A134" s="73" t="s">
        <v>5399</v>
      </c>
      <c r="B134" s="24" t="s">
        <v>1021</v>
      </c>
      <c r="C134" s="21" t="s">
        <v>1034</v>
      </c>
      <c r="D134" s="21" t="s">
        <v>1034</v>
      </c>
      <c r="E134" s="21">
        <v>0.065</v>
      </c>
      <c r="F134" s="21">
        <v>0.073</v>
      </c>
      <c r="G134" s="21">
        <v>0.09</v>
      </c>
      <c r="H134" s="21"/>
      <c r="I134" s="27"/>
      <c r="J134" s="23"/>
      <c r="K134" s="24" t="s">
        <v>1016</v>
      </c>
      <c r="L134" s="27"/>
    </row>
    <row r="135">
      <c r="A135" s="73" t="s">
        <v>5400</v>
      </c>
      <c r="B135" s="24" t="s">
        <v>1021</v>
      </c>
      <c r="C135" s="21" t="s">
        <v>1084</v>
      </c>
      <c r="D135" s="21" t="s">
        <v>1084</v>
      </c>
      <c r="E135" s="21">
        <v>0.075</v>
      </c>
      <c r="F135" s="21">
        <v>0.073</v>
      </c>
      <c r="G135" s="21">
        <v>0.09</v>
      </c>
      <c r="H135" s="21"/>
      <c r="I135" s="27"/>
      <c r="J135" s="23"/>
      <c r="K135" s="24" t="s">
        <v>1016</v>
      </c>
      <c r="L135" s="27"/>
    </row>
    <row r="136">
      <c r="A136" s="73" t="s">
        <v>5401</v>
      </c>
      <c r="B136" s="24" t="s">
        <v>1021</v>
      </c>
      <c r="C136" s="21" t="s">
        <v>1070</v>
      </c>
      <c r="D136" s="21" t="s">
        <v>1070</v>
      </c>
      <c r="E136" s="21">
        <v>0.075</v>
      </c>
      <c r="F136" s="21">
        <v>0.073</v>
      </c>
      <c r="G136" s="21">
        <v>0.07</v>
      </c>
      <c r="H136" s="21"/>
      <c r="I136" s="27"/>
      <c r="J136" s="23"/>
      <c r="K136" s="24" t="s">
        <v>1016</v>
      </c>
      <c r="L136" s="27"/>
    </row>
    <row r="137">
      <c r="A137" s="73" t="s">
        <v>5402</v>
      </c>
      <c r="B137" s="24" t="s">
        <v>700</v>
      </c>
      <c r="C137" s="21" t="s">
        <v>1076</v>
      </c>
      <c r="D137" s="21" t="s">
        <v>1076</v>
      </c>
      <c r="E137" s="21">
        <v>0.062</v>
      </c>
      <c r="F137" s="21">
        <v>0.062</v>
      </c>
      <c r="G137" s="21">
        <v>0.173</v>
      </c>
      <c r="H137" s="21"/>
      <c r="I137" s="27"/>
      <c r="J137" s="23"/>
      <c r="K137" s="24" t="s">
        <v>1016</v>
      </c>
      <c r="L137" s="27"/>
    </row>
    <row r="138">
      <c r="A138" s="73" t="s">
        <v>5403</v>
      </c>
      <c r="B138" s="24" t="s">
        <v>1021</v>
      </c>
      <c r="C138" s="21" t="s">
        <v>1042</v>
      </c>
      <c r="D138" s="21" t="s">
        <v>1042</v>
      </c>
      <c r="E138" s="21">
        <v>0.06</v>
      </c>
      <c r="F138" s="21">
        <v>0.06</v>
      </c>
      <c r="G138" s="21">
        <v>0.155</v>
      </c>
      <c r="H138" s="21"/>
      <c r="I138" s="27"/>
      <c r="J138" s="23"/>
      <c r="K138" s="24" t="s">
        <v>1016</v>
      </c>
      <c r="L138" s="27"/>
    </row>
    <row r="139">
      <c r="A139" s="73" t="s">
        <v>5404</v>
      </c>
      <c r="B139" s="24" t="s">
        <v>1021</v>
      </c>
      <c r="C139" s="21" t="s">
        <v>1063</v>
      </c>
      <c r="D139" s="21" t="s">
        <v>1063</v>
      </c>
      <c r="E139" s="21">
        <v>0.075</v>
      </c>
      <c r="F139" s="21">
        <v>0.073</v>
      </c>
      <c r="G139" s="21">
        <v>0.155</v>
      </c>
      <c r="H139" s="21"/>
      <c r="I139" s="27"/>
      <c r="J139" s="23"/>
      <c r="K139" s="24" t="s">
        <v>1016</v>
      </c>
      <c r="L139" s="27"/>
    </row>
    <row r="140">
      <c r="A140" s="73" t="s">
        <v>5405</v>
      </c>
      <c r="B140" s="24" t="s">
        <v>1011</v>
      </c>
      <c r="C140" s="21" t="s">
        <v>1009</v>
      </c>
      <c r="D140" s="21" t="s">
        <v>1009</v>
      </c>
      <c r="E140" s="21">
        <v>0.125</v>
      </c>
      <c r="F140" s="21">
        <v>0.075</v>
      </c>
      <c r="G140" s="21">
        <v>0.061</v>
      </c>
      <c r="H140" s="21"/>
      <c r="I140" s="27"/>
      <c r="J140" s="23"/>
      <c r="K140" s="24" t="s">
        <v>1006</v>
      </c>
      <c r="L140" s="27"/>
    </row>
    <row r="141">
      <c r="A141" s="73" t="s">
        <v>5406</v>
      </c>
      <c r="B141" s="24" t="s">
        <v>1011</v>
      </c>
      <c r="C141" s="21" t="s">
        <v>4969</v>
      </c>
      <c r="D141" s="21" t="s">
        <v>4969</v>
      </c>
      <c r="E141" s="21">
        <v>0.063</v>
      </c>
      <c r="F141" s="21">
        <v>0.063</v>
      </c>
      <c r="G141" s="21">
        <v>0.067</v>
      </c>
      <c r="H141" s="21"/>
      <c r="I141" s="27"/>
      <c r="J141" s="23"/>
      <c r="K141" s="24" t="s">
        <v>4955</v>
      </c>
      <c r="L141" s="27"/>
    </row>
    <row r="142">
      <c r="A142" s="73" t="s">
        <v>5407</v>
      </c>
      <c r="B142" s="24" t="s">
        <v>1011</v>
      </c>
      <c r="C142" s="21" t="s">
        <v>4958</v>
      </c>
      <c r="D142" s="21" t="s">
        <v>4958</v>
      </c>
      <c r="E142" s="21">
        <v>0.063</v>
      </c>
      <c r="F142" s="21">
        <v>0.063</v>
      </c>
      <c r="G142" s="21">
        <v>0.067</v>
      </c>
      <c r="H142" s="21"/>
      <c r="I142" s="27"/>
      <c r="J142" s="23"/>
      <c r="K142" s="24" t="s">
        <v>4955</v>
      </c>
      <c r="L142" s="27"/>
    </row>
    <row r="143">
      <c r="A143" s="73" t="s">
        <v>5408</v>
      </c>
      <c r="B143" s="24" t="s">
        <v>1011</v>
      </c>
      <c r="C143" s="21" t="s">
        <v>5184</v>
      </c>
      <c r="D143" s="21" t="s">
        <v>5184</v>
      </c>
      <c r="E143" s="21"/>
      <c r="F143" s="21"/>
      <c r="G143" s="21"/>
      <c r="H143" s="21"/>
      <c r="I143" s="27"/>
      <c r="J143" s="23"/>
      <c r="K143" s="24" t="s">
        <v>3836</v>
      </c>
      <c r="L143" s="27"/>
    </row>
    <row r="144">
      <c r="A144" s="73" t="s">
        <v>5409</v>
      </c>
      <c r="B144" s="24" t="s">
        <v>1794</v>
      </c>
      <c r="C144" s="21" t="s">
        <v>1808</v>
      </c>
      <c r="D144" s="21" t="s">
        <v>1808</v>
      </c>
      <c r="E144" s="21">
        <v>0.03</v>
      </c>
      <c r="F144" s="21">
        <v>0.12</v>
      </c>
      <c r="G144" s="21">
        <v>0.18</v>
      </c>
      <c r="H144" s="21"/>
      <c r="I144" s="27"/>
      <c r="J144" s="23"/>
      <c r="K144" s="24" t="s">
        <v>1789</v>
      </c>
      <c r="L144" s="27"/>
    </row>
    <row r="145">
      <c r="A145" s="73" t="s">
        <v>5410</v>
      </c>
      <c r="B145" s="24" t="s">
        <v>1794</v>
      </c>
      <c r="C145" s="21" t="s">
        <v>1846</v>
      </c>
      <c r="D145" s="21" t="s">
        <v>1846</v>
      </c>
      <c r="E145" s="21">
        <v>0.03</v>
      </c>
      <c r="F145" s="21">
        <v>0.12</v>
      </c>
      <c r="G145" s="21">
        <v>0.18</v>
      </c>
      <c r="H145" s="21"/>
      <c r="I145" s="27"/>
      <c r="J145" s="23"/>
      <c r="K145" s="24" t="s">
        <v>1789</v>
      </c>
      <c r="L145" s="27"/>
    </row>
    <row r="146">
      <c r="A146" s="73" t="s">
        <v>5411</v>
      </c>
      <c r="B146" s="24" t="s">
        <v>1794</v>
      </c>
      <c r="C146" s="21" t="s">
        <v>1852</v>
      </c>
      <c r="D146" s="21" t="s">
        <v>1852</v>
      </c>
      <c r="E146" s="21">
        <v>0.03</v>
      </c>
      <c r="F146" s="21">
        <v>0.12</v>
      </c>
      <c r="G146" s="21">
        <v>0.18</v>
      </c>
      <c r="H146" s="21"/>
      <c r="I146" s="27"/>
      <c r="J146" s="23"/>
      <c r="K146" s="24" t="s">
        <v>1789</v>
      </c>
      <c r="L146" s="27"/>
    </row>
    <row r="147">
      <c r="A147" s="73" t="s">
        <v>5412</v>
      </c>
      <c r="B147" s="24" t="s">
        <v>1794</v>
      </c>
      <c r="C147" s="21" t="s">
        <v>1859</v>
      </c>
      <c r="D147" s="21" t="s">
        <v>1859</v>
      </c>
      <c r="E147" s="21">
        <v>0.03</v>
      </c>
      <c r="F147" s="21">
        <v>0.12</v>
      </c>
      <c r="G147" s="21">
        <v>0.18</v>
      </c>
      <c r="H147" s="21"/>
      <c r="I147" s="27"/>
      <c r="J147" s="23"/>
      <c r="K147" s="24" t="s">
        <v>1789</v>
      </c>
      <c r="L147" s="27"/>
    </row>
    <row r="148">
      <c r="A148" s="73" t="s">
        <v>5413</v>
      </c>
      <c r="B148" s="24" t="s">
        <v>1794</v>
      </c>
      <c r="C148" s="21" t="s">
        <v>1801</v>
      </c>
      <c r="D148" s="21" t="s">
        <v>1801</v>
      </c>
      <c r="E148" s="21">
        <v>0.03</v>
      </c>
      <c r="F148" s="21">
        <v>0.12</v>
      </c>
      <c r="G148" s="21">
        <v>0.18</v>
      </c>
      <c r="H148" s="21"/>
      <c r="I148" s="27"/>
      <c r="J148" s="23"/>
      <c r="K148" s="24" t="s">
        <v>1789</v>
      </c>
      <c r="L148" s="27"/>
    </row>
    <row r="149">
      <c r="A149" s="73" t="s">
        <v>5414</v>
      </c>
      <c r="B149" s="24" t="s">
        <v>1794</v>
      </c>
      <c r="C149" s="21" t="s">
        <v>1826</v>
      </c>
      <c r="D149" s="21" t="s">
        <v>1826</v>
      </c>
      <c r="E149" s="21">
        <v>0.03</v>
      </c>
      <c r="F149" s="21">
        <v>0.12</v>
      </c>
      <c r="G149" s="21">
        <v>0.18</v>
      </c>
      <c r="H149" s="21"/>
      <c r="I149" s="27"/>
      <c r="J149" s="23"/>
      <c r="K149" s="24" t="s">
        <v>1789</v>
      </c>
      <c r="L149" s="27"/>
    </row>
    <row r="150">
      <c r="A150" s="73" t="s">
        <v>5415</v>
      </c>
      <c r="B150" s="24" t="s">
        <v>1794</v>
      </c>
      <c r="C150" s="21" t="s">
        <v>2278</v>
      </c>
      <c r="D150" s="21" t="s">
        <v>2278</v>
      </c>
      <c r="E150" s="21">
        <v>0.02</v>
      </c>
      <c r="F150" s="21">
        <v>0.14</v>
      </c>
      <c r="G150" s="21">
        <v>0.19</v>
      </c>
      <c r="H150" s="21"/>
      <c r="I150" s="27"/>
      <c r="J150" s="23"/>
      <c r="K150" s="24" t="s">
        <v>2197</v>
      </c>
      <c r="L150" s="27"/>
    </row>
    <row r="151">
      <c r="A151" s="73" t="s">
        <v>5416</v>
      </c>
      <c r="B151" s="24" t="s">
        <v>1794</v>
      </c>
      <c r="C151" s="21" t="s">
        <v>1839</v>
      </c>
      <c r="D151" s="21" t="s">
        <v>1839</v>
      </c>
      <c r="E151" s="21">
        <v>0.03</v>
      </c>
      <c r="F151" s="21">
        <v>0.12</v>
      </c>
      <c r="G151" s="21">
        <v>0.18</v>
      </c>
      <c r="H151" s="21"/>
      <c r="I151" s="27"/>
      <c r="J151" s="23"/>
      <c r="K151" s="24" t="s">
        <v>1789</v>
      </c>
      <c r="L151" s="27"/>
    </row>
    <row r="152">
      <c r="A152" s="73" t="s">
        <v>5417</v>
      </c>
      <c r="B152" s="24" t="s">
        <v>1794</v>
      </c>
      <c r="C152" s="21" t="s">
        <v>1792</v>
      </c>
      <c r="D152" s="21" t="s">
        <v>1792</v>
      </c>
      <c r="E152" s="21">
        <v>0.03</v>
      </c>
      <c r="F152" s="21">
        <v>0.12</v>
      </c>
      <c r="G152" s="21">
        <v>0.18</v>
      </c>
      <c r="H152" s="21"/>
      <c r="I152" s="27"/>
      <c r="J152" s="23"/>
      <c r="K152" s="24" t="s">
        <v>1789</v>
      </c>
      <c r="L152" s="27"/>
    </row>
    <row r="153">
      <c r="A153" s="73" t="s">
        <v>5418</v>
      </c>
      <c r="B153" s="24" t="s">
        <v>1794</v>
      </c>
      <c r="C153" s="21" t="s">
        <v>1815</v>
      </c>
      <c r="D153" s="21" t="s">
        <v>1815</v>
      </c>
      <c r="E153" s="21">
        <v>0.03</v>
      </c>
      <c r="F153" s="21">
        <v>0.12</v>
      </c>
      <c r="G153" s="21">
        <v>0.18</v>
      </c>
      <c r="H153" s="21"/>
      <c r="I153" s="27"/>
      <c r="J153" s="23"/>
      <c r="K153" s="24" t="s">
        <v>1789</v>
      </c>
      <c r="L153" s="27"/>
    </row>
    <row r="154">
      <c r="A154" s="73" t="s">
        <v>5419</v>
      </c>
      <c r="B154" s="24" t="s">
        <v>1794</v>
      </c>
      <c r="C154" s="21" t="s">
        <v>1820</v>
      </c>
      <c r="D154" s="21" t="s">
        <v>1820</v>
      </c>
      <c r="E154" s="21">
        <v>0.03</v>
      </c>
      <c r="F154" s="21">
        <v>0.12</v>
      </c>
      <c r="G154" s="21">
        <v>0.18</v>
      </c>
      <c r="H154" s="21"/>
      <c r="I154" s="27"/>
      <c r="J154" s="23"/>
      <c r="K154" s="24" t="s">
        <v>1789</v>
      </c>
      <c r="L154" s="27"/>
    </row>
    <row r="155">
      <c r="A155" s="73" t="s">
        <v>5420</v>
      </c>
      <c r="B155" s="24" t="s">
        <v>1794</v>
      </c>
      <c r="C155" s="21" t="s">
        <v>1833</v>
      </c>
      <c r="D155" s="21" t="s">
        <v>1833</v>
      </c>
      <c r="E155" s="21">
        <v>0.03</v>
      </c>
      <c r="F155" s="21">
        <v>0.12</v>
      </c>
      <c r="G155" s="21">
        <v>0.18</v>
      </c>
      <c r="H155" s="21"/>
      <c r="I155" s="27"/>
      <c r="J155" s="23"/>
      <c r="K155" s="24" t="s">
        <v>1789</v>
      </c>
      <c r="L155" s="27"/>
    </row>
    <row r="156">
      <c r="A156" s="73" t="s">
        <v>5421</v>
      </c>
      <c r="B156" s="24" t="s">
        <v>365</v>
      </c>
      <c r="C156" s="21" t="s">
        <v>1875</v>
      </c>
      <c r="D156" s="21" t="s">
        <v>1875</v>
      </c>
      <c r="E156" s="21">
        <v>0.06</v>
      </c>
      <c r="F156" s="21">
        <v>0.06</v>
      </c>
      <c r="G156" s="21">
        <v>0.23</v>
      </c>
      <c r="H156" s="21"/>
      <c r="I156" s="27"/>
      <c r="J156" s="23"/>
      <c r="K156" s="24" t="s">
        <v>1865</v>
      </c>
      <c r="L156" s="27"/>
    </row>
    <row r="157">
      <c r="A157" s="73" t="s">
        <v>5422</v>
      </c>
      <c r="B157" s="24" t="s">
        <v>365</v>
      </c>
      <c r="C157" s="21" t="s">
        <v>1881</v>
      </c>
      <c r="D157" s="21" t="s">
        <v>1881</v>
      </c>
      <c r="E157" s="21">
        <v>0.065</v>
      </c>
      <c r="F157" s="21">
        <v>0.065</v>
      </c>
      <c r="G157" s="21">
        <v>0.17</v>
      </c>
      <c r="H157" s="21"/>
      <c r="I157" s="27"/>
      <c r="J157" s="23"/>
      <c r="K157" s="24" t="s">
        <v>1865</v>
      </c>
      <c r="L157" s="27"/>
    </row>
    <row r="158">
      <c r="A158" s="73" t="s">
        <v>5423</v>
      </c>
      <c r="B158" s="24" t="s">
        <v>1869</v>
      </c>
      <c r="C158" s="21" t="s">
        <v>1867</v>
      </c>
      <c r="D158" s="21" t="s">
        <v>1867</v>
      </c>
      <c r="E158" s="21">
        <v>0.06</v>
      </c>
      <c r="F158" s="21">
        <v>0.06</v>
      </c>
      <c r="G158" s="21">
        <v>0.23</v>
      </c>
      <c r="H158" s="21"/>
      <c r="I158" s="27"/>
      <c r="J158" s="23"/>
      <c r="K158" s="24" t="s">
        <v>1865</v>
      </c>
      <c r="L158" s="27"/>
    </row>
    <row r="159">
      <c r="A159" s="73" t="s">
        <v>5424</v>
      </c>
      <c r="B159" s="24" t="s">
        <v>1772</v>
      </c>
      <c r="C159" s="21" t="s">
        <v>1770</v>
      </c>
      <c r="D159" s="21" t="s">
        <v>1770</v>
      </c>
      <c r="E159" s="21">
        <v>0.02</v>
      </c>
      <c r="F159" s="21">
        <v>0.045</v>
      </c>
      <c r="G159" s="21">
        <v>0.09</v>
      </c>
      <c r="H159" s="21"/>
      <c r="I159" s="27"/>
      <c r="J159" s="23"/>
      <c r="K159" s="24" t="s">
        <v>1767</v>
      </c>
      <c r="L159" s="27"/>
    </row>
    <row r="160">
      <c r="A160" s="73" t="s">
        <v>5425</v>
      </c>
      <c r="B160" s="24" t="s">
        <v>1783</v>
      </c>
      <c r="C160" s="21" t="s">
        <v>1781</v>
      </c>
      <c r="D160" s="21" t="s">
        <v>1781</v>
      </c>
      <c r="E160" s="21">
        <v>0.07</v>
      </c>
      <c r="F160" s="21">
        <v>0.07</v>
      </c>
      <c r="G160" s="21">
        <v>0.09</v>
      </c>
      <c r="H160" s="21"/>
      <c r="I160" s="27"/>
      <c r="J160" s="23"/>
      <c r="K160" s="24" t="s">
        <v>1778</v>
      </c>
      <c r="L160" s="27"/>
    </row>
    <row r="161">
      <c r="A161" s="73" t="s">
        <v>5426</v>
      </c>
      <c r="B161" s="24" t="s">
        <v>185</v>
      </c>
      <c r="C161" s="21" t="s">
        <v>4856</v>
      </c>
      <c r="D161" s="21" t="s">
        <v>4856</v>
      </c>
      <c r="E161" s="21">
        <v>0.02</v>
      </c>
      <c r="F161" s="21">
        <v>0.245</v>
      </c>
      <c r="G161" s="21">
        <v>0.085</v>
      </c>
      <c r="H161" s="21"/>
      <c r="I161" s="27"/>
      <c r="J161" s="23"/>
      <c r="K161" s="24" t="s">
        <v>4821</v>
      </c>
      <c r="L161" s="27"/>
    </row>
    <row r="162">
      <c r="A162" s="73" t="s">
        <v>5427</v>
      </c>
      <c r="B162" s="24" t="s">
        <v>185</v>
      </c>
      <c r="C162" s="21" t="s">
        <v>4850</v>
      </c>
      <c r="D162" s="21" t="s">
        <v>4850</v>
      </c>
      <c r="E162" s="21">
        <v>0.02</v>
      </c>
      <c r="F162" s="21">
        <v>0.245</v>
      </c>
      <c r="G162" s="21">
        <v>0.085</v>
      </c>
      <c r="H162" s="21"/>
      <c r="I162" s="27"/>
      <c r="J162" s="23"/>
      <c r="K162" s="24" t="s">
        <v>4821</v>
      </c>
      <c r="L162" s="27"/>
    </row>
    <row r="163">
      <c r="A163" s="73" t="s">
        <v>5428</v>
      </c>
      <c r="B163" s="24" t="s">
        <v>501</v>
      </c>
      <c r="C163" s="21" t="s">
        <v>4862</v>
      </c>
      <c r="D163" s="21" t="s">
        <v>4862</v>
      </c>
      <c r="E163" s="21">
        <v>0.02</v>
      </c>
      <c r="F163" s="21">
        <v>0.11</v>
      </c>
      <c r="G163" s="21">
        <v>0.055</v>
      </c>
      <c r="H163" s="21"/>
      <c r="I163" s="27"/>
      <c r="J163" s="23"/>
      <c r="K163" s="24" t="s">
        <v>4821</v>
      </c>
      <c r="L163" s="27"/>
    </row>
    <row r="164">
      <c r="A164" s="73" t="s">
        <v>5429</v>
      </c>
      <c r="B164" s="24" t="s">
        <v>501</v>
      </c>
      <c r="C164" s="21" t="s">
        <v>4831</v>
      </c>
      <c r="D164" s="21" t="s">
        <v>4831</v>
      </c>
      <c r="E164" s="21">
        <v>0.02</v>
      </c>
      <c r="F164" s="21">
        <v>0.11</v>
      </c>
      <c r="G164" s="21">
        <v>0.045</v>
      </c>
      <c r="H164" s="21"/>
      <c r="I164" s="27"/>
      <c r="J164" s="23"/>
      <c r="K164" s="24" t="s">
        <v>4821</v>
      </c>
      <c r="L164" s="27"/>
    </row>
    <row r="165">
      <c r="A165" s="73" t="s">
        <v>5430</v>
      </c>
      <c r="B165" s="24" t="s">
        <v>501</v>
      </c>
      <c r="C165" s="21" t="s">
        <v>4824</v>
      </c>
      <c r="D165" s="21" t="s">
        <v>4824</v>
      </c>
      <c r="E165" s="21">
        <v>0.03</v>
      </c>
      <c r="F165" s="21">
        <v>0.04</v>
      </c>
      <c r="G165" s="21">
        <v>0.115</v>
      </c>
      <c r="H165" s="21"/>
      <c r="I165" s="27"/>
      <c r="J165" s="23"/>
      <c r="K165" s="24" t="s">
        <v>4821</v>
      </c>
      <c r="L165" s="27"/>
    </row>
    <row r="166">
      <c r="A166" s="73" t="s">
        <v>5431</v>
      </c>
      <c r="B166" s="24" t="s">
        <v>1484</v>
      </c>
      <c r="C166" s="21" t="s">
        <v>4837</v>
      </c>
      <c r="D166" s="21" t="s">
        <v>4837</v>
      </c>
      <c r="E166" s="21">
        <v>0.01</v>
      </c>
      <c r="F166" s="21">
        <v>0.085</v>
      </c>
      <c r="G166" s="21">
        <v>0.087</v>
      </c>
      <c r="H166" s="21"/>
      <c r="I166" s="27"/>
      <c r="J166" s="23"/>
      <c r="K166" s="24" t="s">
        <v>4821</v>
      </c>
      <c r="L166" s="27"/>
    </row>
    <row r="167">
      <c r="A167" s="73" t="s">
        <v>5432</v>
      </c>
      <c r="B167" s="24" t="s">
        <v>1484</v>
      </c>
      <c r="C167" s="21" t="s">
        <v>4844</v>
      </c>
      <c r="D167" s="21" t="s">
        <v>4844</v>
      </c>
      <c r="E167" s="21">
        <v>0.01</v>
      </c>
      <c r="F167" s="21">
        <v>0.085</v>
      </c>
      <c r="G167" s="21">
        <v>0.087</v>
      </c>
      <c r="H167" s="21"/>
      <c r="I167" s="27"/>
      <c r="J167" s="23"/>
      <c r="K167" s="24" t="s">
        <v>4821</v>
      </c>
      <c r="L167" s="27"/>
    </row>
    <row r="168">
      <c r="A168" s="73" t="s">
        <v>5433</v>
      </c>
      <c r="B168" s="24" t="s">
        <v>2027</v>
      </c>
      <c r="C168" s="21" t="s">
        <v>2033</v>
      </c>
      <c r="D168" s="21" t="s">
        <v>2033</v>
      </c>
      <c r="E168" s="21">
        <v>0.013</v>
      </c>
      <c r="F168" s="21">
        <v>0.14</v>
      </c>
      <c r="G168" s="21">
        <v>0.048</v>
      </c>
      <c r="H168" s="21"/>
      <c r="I168" s="27"/>
      <c r="J168" s="23"/>
      <c r="K168" s="24" t="s">
        <v>2022</v>
      </c>
      <c r="L168" s="27"/>
    </row>
    <row r="169">
      <c r="A169" s="73" t="s">
        <v>5434</v>
      </c>
      <c r="B169" s="24" t="s">
        <v>2027</v>
      </c>
      <c r="C169" s="21" t="s">
        <v>2025</v>
      </c>
      <c r="D169" s="21" t="s">
        <v>2025</v>
      </c>
      <c r="E169" s="21">
        <v>0.013</v>
      </c>
      <c r="F169" s="21">
        <v>0.14</v>
      </c>
      <c r="G169" s="21">
        <v>0.048</v>
      </c>
      <c r="H169" s="21"/>
      <c r="I169" s="27"/>
      <c r="J169" s="23"/>
      <c r="K169" s="24" t="s">
        <v>2022</v>
      </c>
      <c r="L169" s="27"/>
    </row>
    <row r="170">
      <c r="A170" s="73" t="s">
        <v>5435</v>
      </c>
      <c r="B170" s="24" t="s">
        <v>2611</v>
      </c>
      <c r="C170" s="21" t="s">
        <v>4870</v>
      </c>
      <c r="D170" s="21" t="s">
        <v>4870</v>
      </c>
      <c r="E170" s="21">
        <v>0.023</v>
      </c>
      <c r="F170" s="21">
        <v>0.118</v>
      </c>
      <c r="G170" s="21">
        <v>0.185</v>
      </c>
      <c r="H170" s="21"/>
      <c r="I170" s="27"/>
      <c r="J170" s="23"/>
      <c r="K170" s="24" t="s">
        <v>4867</v>
      </c>
      <c r="L170" s="27"/>
    </row>
    <row r="171">
      <c r="A171" s="73" t="s">
        <v>5436</v>
      </c>
      <c r="B171" s="24" t="s">
        <v>109</v>
      </c>
      <c r="C171" s="21" t="s">
        <v>4876</v>
      </c>
      <c r="D171" s="21" t="s">
        <v>4876</v>
      </c>
      <c r="E171" s="21">
        <v>0.06</v>
      </c>
      <c r="F171" s="21">
        <v>0.145</v>
      </c>
      <c r="G171" s="21">
        <v>0.215</v>
      </c>
      <c r="H171" s="21"/>
      <c r="I171" s="27"/>
      <c r="J171" s="23"/>
      <c r="K171" s="24" t="s">
        <v>4867</v>
      </c>
      <c r="L171" s="27"/>
    </row>
    <row r="172">
      <c r="A172" s="73" t="s">
        <v>5437</v>
      </c>
      <c r="B172" s="24" t="s">
        <v>4892</v>
      </c>
      <c r="C172" s="21" t="s">
        <v>4905</v>
      </c>
      <c r="D172" s="21" t="s">
        <v>4905</v>
      </c>
      <c r="E172" s="21">
        <v>0.064</v>
      </c>
      <c r="F172" s="21">
        <v>0.068</v>
      </c>
      <c r="G172" s="21">
        <v>0.144</v>
      </c>
      <c r="H172" s="21"/>
      <c r="I172" s="27"/>
      <c r="J172" s="23"/>
      <c r="K172" s="24" t="s">
        <v>4887</v>
      </c>
      <c r="L172" s="27"/>
    </row>
    <row r="173">
      <c r="A173" s="73" t="s">
        <v>5438</v>
      </c>
      <c r="B173" s="24" t="s">
        <v>4892</v>
      </c>
      <c r="C173" s="21" t="s">
        <v>4898</v>
      </c>
      <c r="D173" s="21" t="s">
        <v>4898</v>
      </c>
      <c r="E173" s="21">
        <v>0.064</v>
      </c>
      <c r="F173" s="21">
        <v>0.144</v>
      </c>
      <c r="G173" s="21">
        <v>0.0685</v>
      </c>
      <c r="H173" s="21"/>
      <c r="I173" s="27"/>
      <c r="J173" s="23"/>
      <c r="K173" s="24" t="s">
        <v>4887</v>
      </c>
      <c r="L173" s="27"/>
    </row>
    <row r="174">
      <c r="A174" s="73" t="s">
        <v>5439</v>
      </c>
      <c r="B174" s="24" t="s">
        <v>4892</v>
      </c>
      <c r="C174" s="21" t="s">
        <v>4890</v>
      </c>
      <c r="D174" s="21" t="s">
        <v>4890</v>
      </c>
      <c r="E174" s="21">
        <v>0.065</v>
      </c>
      <c r="F174" s="21">
        <v>0.145</v>
      </c>
      <c r="G174" s="21">
        <v>0.07</v>
      </c>
      <c r="H174" s="21"/>
      <c r="I174" s="27"/>
      <c r="J174" s="23"/>
      <c r="K174" s="24" t="s">
        <v>4887</v>
      </c>
      <c r="L174" s="27"/>
    </row>
    <row r="175">
      <c r="A175" s="73" t="s">
        <v>5440</v>
      </c>
      <c r="B175" s="24" t="s">
        <v>149</v>
      </c>
      <c r="C175" s="21" t="s">
        <v>4918</v>
      </c>
      <c r="D175" s="21" t="s">
        <v>4918</v>
      </c>
      <c r="E175" s="21">
        <v>0.057</v>
      </c>
      <c r="F175" s="21">
        <v>0.073</v>
      </c>
      <c r="G175" s="21">
        <v>0.195</v>
      </c>
      <c r="H175" s="21"/>
      <c r="I175" s="27"/>
      <c r="J175" s="23"/>
      <c r="K175" s="24" t="s">
        <v>4887</v>
      </c>
      <c r="L175" s="27"/>
    </row>
    <row r="176">
      <c r="A176" s="73" t="s">
        <v>5441</v>
      </c>
      <c r="B176" s="24" t="s">
        <v>149</v>
      </c>
      <c r="C176" s="21" t="s">
        <v>4912</v>
      </c>
      <c r="D176" s="21" t="s">
        <v>4912</v>
      </c>
      <c r="E176" s="21">
        <v>0.057</v>
      </c>
      <c r="F176" s="21">
        <v>0.073</v>
      </c>
      <c r="G176" s="21">
        <v>0.195</v>
      </c>
      <c r="H176" s="21"/>
      <c r="I176" s="27"/>
      <c r="J176" s="23"/>
      <c r="K176" s="24" t="s">
        <v>4887</v>
      </c>
      <c r="L176" s="27"/>
    </row>
    <row r="177">
      <c r="A177" s="73" t="s">
        <v>5442</v>
      </c>
      <c r="B177" s="24" t="s">
        <v>365</v>
      </c>
      <c r="C177" s="21" t="s">
        <v>4782</v>
      </c>
      <c r="D177" s="21" t="s">
        <v>4782</v>
      </c>
      <c r="E177" s="21">
        <v>0.06</v>
      </c>
      <c r="F177" s="21">
        <v>0.06</v>
      </c>
      <c r="G177" s="21">
        <v>0.228</v>
      </c>
      <c r="H177" s="21"/>
      <c r="I177" s="27"/>
      <c r="J177" s="23"/>
      <c r="K177" s="24" t="s">
        <v>4779</v>
      </c>
      <c r="L177" s="27"/>
    </row>
    <row r="178">
      <c r="A178" s="73" t="s">
        <v>5443</v>
      </c>
      <c r="B178" s="24" t="s">
        <v>365</v>
      </c>
      <c r="C178" s="21" t="s">
        <v>4788</v>
      </c>
      <c r="D178" s="21" t="s">
        <v>4788</v>
      </c>
      <c r="E178" s="21">
        <v>0.06</v>
      </c>
      <c r="F178" s="21">
        <v>0.065</v>
      </c>
      <c r="G178" s="21">
        <v>0.17</v>
      </c>
      <c r="H178" s="21"/>
      <c r="I178" s="27"/>
      <c r="J178" s="23"/>
      <c r="K178" s="24" t="s">
        <v>4779</v>
      </c>
      <c r="L178" s="27"/>
    </row>
    <row r="179">
      <c r="A179" s="73" t="s">
        <v>5444</v>
      </c>
      <c r="B179" s="24" t="s">
        <v>501</v>
      </c>
      <c r="C179" s="21" t="s">
        <v>4796</v>
      </c>
      <c r="D179" s="21" t="s">
        <v>4796</v>
      </c>
      <c r="E179" s="21">
        <v>0.02</v>
      </c>
      <c r="F179" s="21">
        <v>0.12</v>
      </c>
      <c r="G179" s="21">
        <v>0.035</v>
      </c>
      <c r="H179" s="21"/>
      <c r="I179" s="27"/>
      <c r="J179" s="23"/>
      <c r="K179" s="24" t="s">
        <v>4793</v>
      </c>
      <c r="L179" s="27"/>
    </row>
    <row r="180">
      <c r="A180" s="73" t="s">
        <v>5445</v>
      </c>
      <c r="B180" s="24" t="s">
        <v>501</v>
      </c>
      <c r="C180" s="21" t="s">
        <v>4804</v>
      </c>
      <c r="D180" s="21" t="s">
        <v>4804</v>
      </c>
      <c r="E180" s="21">
        <v>0.02</v>
      </c>
      <c r="F180" s="21">
        <v>0.12</v>
      </c>
      <c r="G180" s="21">
        <v>0.045</v>
      </c>
      <c r="H180" s="21"/>
      <c r="I180" s="27"/>
      <c r="J180" s="23"/>
      <c r="K180" s="24" t="s">
        <v>4801</v>
      </c>
      <c r="L180" s="27"/>
    </row>
    <row r="181">
      <c r="A181" s="73" t="s">
        <v>5446</v>
      </c>
      <c r="B181" s="24" t="s">
        <v>185</v>
      </c>
      <c r="C181" s="21" t="s">
        <v>183</v>
      </c>
      <c r="D181" s="21" t="s">
        <v>183</v>
      </c>
      <c r="E181" s="21">
        <v>0.035</v>
      </c>
      <c r="F181" s="21">
        <v>0.15</v>
      </c>
      <c r="G181" s="21">
        <v>0.23</v>
      </c>
      <c r="H181" s="21"/>
      <c r="I181" s="27"/>
      <c r="J181" s="23"/>
      <c r="K181" s="32" t="s">
        <v>230</v>
      </c>
      <c r="L181" s="27"/>
    </row>
    <row r="182">
      <c r="A182" s="73" t="s">
        <v>5447</v>
      </c>
      <c r="B182" s="24" t="s">
        <v>185</v>
      </c>
      <c r="C182" s="21" t="s">
        <v>232</v>
      </c>
      <c r="D182" s="21" t="s">
        <v>232</v>
      </c>
      <c r="E182" s="21">
        <v>0.03</v>
      </c>
      <c r="F182" s="21">
        <v>0.08</v>
      </c>
      <c r="G182" s="21">
        <v>0.112</v>
      </c>
      <c r="H182" s="21"/>
      <c r="I182" s="27"/>
      <c r="J182" s="23"/>
      <c r="K182" s="32" t="s">
        <v>230</v>
      </c>
      <c r="L182" s="27"/>
    </row>
    <row r="183">
      <c r="A183" s="73" t="s">
        <v>5448</v>
      </c>
      <c r="B183" s="24" t="s">
        <v>501</v>
      </c>
      <c r="C183" s="21" t="s">
        <v>3134</v>
      </c>
      <c r="D183" s="21" t="s">
        <v>3134</v>
      </c>
      <c r="E183" s="21">
        <v>0.05</v>
      </c>
      <c r="F183" s="21">
        <v>0.07</v>
      </c>
      <c r="G183" s="21">
        <v>0.105</v>
      </c>
      <c r="H183" s="21"/>
      <c r="I183" s="27"/>
      <c r="J183" s="23"/>
      <c r="K183" s="32" t="s">
        <v>230</v>
      </c>
      <c r="L183" s="27"/>
    </row>
    <row r="184">
      <c r="A184" s="73" t="s">
        <v>5449</v>
      </c>
      <c r="B184" s="24" t="s">
        <v>2364</v>
      </c>
      <c r="C184" s="21" t="s">
        <v>4766</v>
      </c>
      <c r="D184" s="21" t="s">
        <v>4766</v>
      </c>
      <c r="E184" s="21">
        <v>0.03</v>
      </c>
      <c r="F184" s="21">
        <v>0.26</v>
      </c>
      <c r="G184" s="21">
        <v>0.09</v>
      </c>
      <c r="H184" s="21"/>
      <c r="I184" s="27"/>
      <c r="J184" s="23"/>
      <c r="K184" s="32" t="s">
        <v>230</v>
      </c>
      <c r="L184" s="27"/>
    </row>
    <row r="185">
      <c r="A185" s="73" t="s">
        <v>5450</v>
      </c>
      <c r="B185" s="24" t="s">
        <v>501</v>
      </c>
      <c r="C185" s="21" t="s">
        <v>4774</v>
      </c>
      <c r="D185" s="21" t="s">
        <v>4774</v>
      </c>
      <c r="E185" s="21">
        <v>0.02</v>
      </c>
      <c r="F185" s="21">
        <v>0.16</v>
      </c>
      <c r="G185" s="21">
        <v>0.035</v>
      </c>
      <c r="H185" s="21"/>
      <c r="I185" s="27"/>
      <c r="J185" s="23"/>
      <c r="K185" s="32" t="s">
        <v>230</v>
      </c>
      <c r="L185" s="27"/>
    </row>
    <row r="186">
      <c r="A186" s="73" t="s">
        <v>5451</v>
      </c>
      <c r="B186" s="24" t="s">
        <v>2364</v>
      </c>
      <c r="C186" s="21" t="s">
        <v>4741</v>
      </c>
      <c r="D186" s="21" t="s">
        <v>4741</v>
      </c>
      <c r="E186" s="21">
        <v>0.035</v>
      </c>
      <c r="F186" s="21">
        <v>0.24</v>
      </c>
      <c r="G186" s="21">
        <v>0.075</v>
      </c>
      <c r="H186" s="21"/>
      <c r="I186" s="27"/>
      <c r="J186" s="23"/>
      <c r="K186" s="24" t="s">
        <v>4731</v>
      </c>
      <c r="L186" s="27"/>
    </row>
    <row r="187">
      <c r="A187" s="73" t="s">
        <v>5452</v>
      </c>
      <c r="B187" s="24" t="s">
        <v>2364</v>
      </c>
      <c r="C187" s="21" t="s">
        <v>4734</v>
      </c>
      <c r="D187" s="21" t="s">
        <v>4734</v>
      </c>
      <c r="E187" s="21">
        <v>0.035</v>
      </c>
      <c r="F187" s="21">
        <v>0.24</v>
      </c>
      <c r="G187" s="21">
        <v>0.075</v>
      </c>
      <c r="H187" s="21"/>
      <c r="I187" s="27"/>
      <c r="J187" s="23"/>
      <c r="K187" s="24" t="s">
        <v>4731</v>
      </c>
      <c r="L187" s="27"/>
    </row>
    <row r="188">
      <c r="A188" s="73" t="s">
        <v>5453</v>
      </c>
      <c r="B188" s="24" t="s">
        <v>1433</v>
      </c>
      <c r="C188" s="21" t="s">
        <v>4719</v>
      </c>
      <c r="D188" s="21" t="s">
        <v>4719</v>
      </c>
      <c r="E188" s="21">
        <v>0.02</v>
      </c>
      <c r="F188" s="21">
        <v>0.037</v>
      </c>
      <c r="G188" s="21">
        <v>0.061</v>
      </c>
      <c r="H188" s="21"/>
      <c r="I188" s="27"/>
      <c r="J188" s="23"/>
      <c r="K188" s="24" t="s">
        <v>4716</v>
      </c>
      <c r="L188" s="27"/>
    </row>
    <row r="189">
      <c r="A189" s="73" t="s">
        <v>5454</v>
      </c>
      <c r="B189" s="24" t="s">
        <v>1433</v>
      </c>
      <c r="C189" s="21" t="s">
        <v>4726</v>
      </c>
      <c r="D189" s="21" t="s">
        <v>4726</v>
      </c>
      <c r="E189" s="21">
        <v>0.02</v>
      </c>
      <c r="F189" s="21">
        <v>0.037</v>
      </c>
      <c r="G189" s="21">
        <v>0.061</v>
      </c>
      <c r="H189" s="21"/>
      <c r="I189" s="27"/>
      <c r="J189" s="23"/>
      <c r="K189" s="24" t="s">
        <v>4716</v>
      </c>
      <c r="L189" s="27"/>
    </row>
    <row r="190">
      <c r="A190" s="73" t="s">
        <v>5455</v>
      </c>
      <c r="B190" s="24" t="s">
        <v>2158</v>
      </c>
      <c r="C190" s="21" t="s">
        <v>4695</v>
      </c>
      <c r="D190" s="21" t="s">
        <v>4695</v>
      </c>
      <c r="E190" s="21">
        <v>0.06</v>
      </c>
      <c r="F190" s="21">
        <v>0.06</v>
      </c>
      <c r="G190" s="21">
        <v>0.197</v>
      </c>
      <c r="H190" s="21"/>
      <c r="I190" s="27"/>
      <c r="J190" s="23"/>
      <c r="K190" s="24" t="s">
        <v>4679</v>
      </c>
      <c r="L190" s="27"/>
    </row>
    <row r="191">
      <c r="A191" s="73" t="s">
        <v>5456</v>
      </c>
      <c r="B191" s="24" t="s">
        <v>2158</v>
      </c>
      <c r="C191" s="21" t="s">
        <v>4688</v>
      </c>
      <c r="D191" s="21" t="s">
        <v>4688</v>
      </c>
      <c r="E191" s="21">
        <v>0.06</v>
      </c>
      <c r="F191" s="21">
        <v>0.06</v>
      </c>
      <c r="G191" s="21">
        <v>0.197</v>
      </c>
      <c r="H191" s="21"/>
      <c r="I191" s="27"/>
      <c r="J191" s="23"/>
      <c r="K191" s="24" t="s">
        <v>4679</v>
      </c>
      <c r="L191" s="27"/>
    </row>
    <row r="192">
      <c r="A192" s="73" t="s">
        <v>5457</v>
      </c>
      <c r="B192" s="24" t="s">
        <v>2158</v>
      </c>
      <c r="C192" s="21" t="s">
        <v>4682</v>
      </c>
      <c r="D192" s="21" t="s">
        <v>4682</v>
      </c>
      <c r="E192" s="21">
        <v>0.098</v>
      </c>
      <c r="F192" s="21">
        <v>0.098</v>
      </c>
      <c r="G192" s="21">
        <v>0.335</v>
      </c>
      <c r="H192" s="21"/>
      <c r="I192" s="27"/>
      <c r="J192" s="23"/>
      <c r="K192" s="24" t="s">
        <v>4679</v>
      </c>
      <c r="L192" s="27"/>
    </row>
    <row r="193">
      <c r="A193" s="73" t="s">
        <v>5458</v>
      </c>
      <c r="B193" s="24" t="s">
        <v>1262</v>
      </c>
      <c r="C193" s="21" t="s">
        <v>4711</v>
      </c>
      <c r="D193" s="21" t="s">
        <v>4711</v>
      </c>
      <c r="E193" s="21">
        <v>0.087</v>
      </c>
      <c r="F193" s="21">
        <v>0.09999999</v>
      </c>
      <c r="G193" s="21">
        <v>0.154</v>
      </c>
      <c r="H193" s="21"/>
      <c r="I193" s="27"/>
      <c r="J193" s="23"/>
      <c r="K193" s="24" t="s">
        <v>4708</v>
      </c>
      <c r="L193" s="27"/>
    </row>
    <row r="194">
      <c r="A194" s="73" t="s">
        <v>5459</v>
      </c>
      <c r="B194" s="24" t="s">
        <v>501</v>
      </c>
      <c r="C194" s="21" t="s">
        <v>4556</v>
      </c>
      <c r="D194" s="21" t="s">
        <v>4556</v>
      </c>
      <c r="E194" s="21">
        <v>0.02</v>
      </c>
      <c r="F194" s="21">
        <v>0.135</v>
      </c>
      <c r="G194" s="21">
        <v>0.05</v>
      </c>
      <c r="H194" s="21"/>
      <c r="I194" s="27"/>
      <c r="J194" s="23"/>
      <c r="K194" s="24" t="s">
        <v>4553</v>
      </c>
      <c r="L194" s="27"/>
    </row>
    <row r="195">
      <c r="A195" s="73" t="s">
        <v>5460</v>
      </c>
      <c r="B195" s="24" t="s">
        <v>185</v>
      </c>
      <c r="C195" s="21" t="s">
        <v>239</v>
      </c>
      <c r="D195" s="21" t="s">
        <v>239</v>
      </c>
      <c r="E195" s="21">
        <v>0.03</v>
      </c>
      <c r="F195" s="21">
        <v>0.08</v>
      </c>
      <c r="G195" s="21">
        <v>0.112</v>
      </c>
      <c r="H195" s="21"/>
      <c r="I195" s="27"/>
      <c r="J195" s="23"/>
      <c r="K195" s="32" t="s">
        <v>237</v>
      </c>
      <c r="L195" s="27"/>
    </row>
    <row r="196">
      <c r="A196" s="73" t="s">
        <v>5461</v>
      </c>
      <c r="B196" s="24" t="s">
        <v>109</v>
      </c>
      <c r="C196" s="21" t="s">
        <v>4703</v>
      </c>
      <c r="D196" s="21" t="s">
        <v>4703</v>
      </c>
      <c r="E196" s="21">
        <v>0.05</v>
      </c>
      <c r="F196" s="21">
        <v>0.13</v>
      </c>
      <c r="G196" s="21">
        <v>0.19</v>
      </c>
      <c r="H196" s="21"/>
      <c r="I196" s="27"/>
      <c r="J196" s="23"/>
      <c r="K196" s="24" t="s">
        <v>4700</v>
      </c>
      <c r="L196" s="27"/>
    </row>
    <row r="197">
      <c r="A197" s="73" t="s">
        <v>5462</v>
      </c>
      <c r="B197" s="24" t="s">
        <v>700</v>
      </c>
      <c r="C197" s="21" t="s">
        <v>4962</v>
      </c>
      <c r="D197" s="21" t="s">
        <v>4962</v>
      </c>
      <c r="E197" s="21">
        <v>0.075</v>
      </c>
      <c r="F197" s="21">
        <v>0.06</v>
      </c>
      <c r="G197" s="21">
        <v>0.17</v>
      </c>
      <c r="H197" s="21"/>
      <c r="I197" s="27"/>
      <c r="J197" s="23"/>
      <c r="K197" s="24" t="s">
        <v>4955</v>
      </c>
      <c r="L197" s="27"/>
    </row>
    <row r="198">
      <c r="A198" s="73" t="s">
        <v>5463</v>
      </c>
      <c r="B198" s="24" t="s">
        <v>1555</v>
      </c>
      <c r="C198" s="21" t="s">
        <v>2003</v>
      </c>
      <c r="D198" s="21" t="s">
        <v>2003</v>
      </c>
      <c r="E198" s="21">
        <v>0.068</v>
      </c>
      <c r="F198" s="21">
        <v>0.068</v>
      </c>
      <c r="G198" s="21">
        <v>0.175</v>
      </c>
      <c r="H198" s="21"/>
      <c r="I198" s="27"/>
      <c r="J198" s="23"/>
      <c r="K198" s="24" t="s">
        <v>2001</v>
      </c>
      <c r="L198" s="27"/>
    </row>
    <row r="199">
      <c r="A199" s="73" t="s">
        <v>5464</v>
      </c>
      <c r="B199" s="24" t="s">
        <v>1021</v>
      </c>
      <c r="C199" s="21" t="s">
        <v>1667</v>
      </c>
      <c r="D199" s="21" t="s">
        <v>1667</v>
      </c>
      <c r="E199" s="21">
        <v>0.075</v>
      </c>
      <c r="F199" s="21">
        <v>0.062</v>
      </c>
      <c r="G199" s="21">
        <v>0.173</v>
      </c>
      <c r="H199" s="21"/>
      <c r="I199" s="27"/>
      <c r="J199" s="23"/>
      <c r="K199" s="32" t="s">
        <v>1664</v>
      </c>
      <c r="L199" s="27"/>
    </row>
    <row r="200">
      <c r="A200" s="73" t="s">
        <v>5465</v>
      </c>
      <c r="B200" s="24" t="s">
        <v>1021</v>
      </c>
      <c r="C200" s="21" t="s">
        <v>1674</v>
      </c>
      <c r="D200" s="21" t="s">
        <v>1674</v>
      </c>
      <c r="E200" s="21">
        <v>0.075</v>
      </c>
      <c r="F200" s="21">
        <v>0.062</v>
      </c>
      <c r="G200" s="21">
        <v>0.173</v>
      </c>
      <c r="H200" s="21"/>
      <c r="I200" s="27"/>
      <c r="J200" s="23"/>
      <c r="K200" s="32" t="s">
        <v>1664</v>
      </c>
      <c r="L200" s="27"/>
    </row>
    <row r="201">
      <c r="A201" s="73" t="s">
        <v>5466</v>
      </c>
      <c r="B201" s="24" t="s">
        <v>1021</v>
      </c>
      <c r="C201" s="21" t="s">
        <v>4982</v>
      </c>
      <c r="D201" s="21" t="s">
        <v>4982</v>
      </c>
      <c r="E201" s="21">
        <v>0.075</v>
      </c>
      <c r="F201" s="21">
        <v>0.073</v>
      </c>
      <c r="G201" s="21">
        <v>0.072</v>
      </c>
      <c r="H201" s="21"/>
      <c r="I201" s="27"/>
      <c r="J201" s="23"/>
      <c r="K201" s="32" t="s">
        <v>1664</v>
      </c>
      <c r="L201" s="27"/>
    </row>
    <row r="202">
      <c r="A202" s="73" t="s">
        <v>5467</v>
      </c>
      <c r="B202" s="24" t="s">
        <v>1021</v>
      </c>
      <c r="C202" s="21" t="s">
        <v>4975</v>
      </c>
      <c r="D202" s="21" t="s">
        <v>4975</v>
      </c>
      <c r="E202" s="21">
        <v>0.075</v>
      </c>
      <c r="F202" s="21">
        <v>0.073</v>
      </c>
      <c r="G202" s="21">
        <v>0.072</v>
      </c>
      <c r="H202" s="21"/>
      <c r="I202" s="27"/>
      <c r="J202" s="23"/>
      <c r="K202" s="32" t="s">
        <v>1664</v>
      </c>
      <c r="L202" s="27"/>
    </row>
    <row r="203">
      <c r="A203" s="73" t="s">
        <v>5468</v>
      </c>
      <c r="B203" s="24" t="s">
        <v>1021</v>
      </c>
      <c r="C203" s="21" t="s">
        <v>5019</v>
      </c>
      <c r="D203" s="21" t="s">
        <v>5019</v>
      </c>
      <c r="E203" s="21">
        <v>0.075</v>
      </c>
      <c r="F203" s="21">
        <v>0.073</v>
      </c>
      <c r="G203" s="21">
        <v>0.072</v>
      </c>
      <c r="H203" s="21"/>
      <c r="I203" s="27"/>
      <c r="J203" s="23"/>
      <c r="K203" s="32" t="s">
        <v>1664</v>
      </c>
      <c r="L203" s="27"/>
    </row>
    <row r="204">
      <c r="A204" s="73" t="s">
        <v>5469</v>
      </c>
      <c r="B204" s="24" t="s">
        <v>1021</v>
      </c>
      <c r="C204" s="21" t="s">
        <v>5025</v>
      </c>
      <c r="D204" s="21" t="s">
        <v>5025</v>
      </c>
      <c r="E204" s="21">
        <v>0.075</v>
      </c>
      <c r="F204" s="21">
        <v>0.073</v>
      </c>
      <c r="G204" s="21">
        <v>0.072</v>
      </c>
      <c r="H204" s="21"/>
      <c r="I204" s="27"/>
      <c r="J204" s="23"/>
      <c r="K204" s="32" t="s">
        <v>1664</v>
      </c>
      <c r="L204" s="27"/>
    </row>
    <row r="205">
      <c r="A205" s="73" t="s">
        <v>5470</v>
      </c>
      <c r="B205" s="24" t="s">
        <v>1021</v>
      </c>
      <c r="C205" s="21" t="s">
        <v>4995</v>
      </c>
      <c r="D205" s="21" t="s">
        <v>4995</v>
      </c>
      <c r="E205" s="21">
        <v>0.065</v>
      </c>
      <c r="F205" s="21">
        <v>0.08</v>
      </c>
      <c r="G205" s="21">
        <v>0.07</v>
      </c>
      <c r="H205" s="21"/>
      <c r="I205" s="27"/>
      <c r="J205" s="23"/>
      <c r="K205" s="32" t="s">
        <v>1664</v>
      </c>
      <c r="L205" s="27"/>
    </row>
    <row r="206">
      <c r="A206" s="73" t="s">
        <v>5471</v>
      </c>
      <c r="B206" s="24" t="s">
        <v>1021</v>
      </c>
      <c r="C206" s="21" t="s">
        <v>5001</v>
      </c>
      <c r="D206" s="21" t="s">
        <v>5001</v>
      </c>
      <c r="E206" s="21">
        <v>0.075</v>
      </c>
      <c r="F206" s="21">
        <v>0.08</v>
      </c>
      <c r="G206" s="21">
        <v>0.072</v>
      </c>
      <c r="H206" s="21"/>
      <c r="I206" s="27"/>
      <c r="J206" s="23"/>
      <c r="K206" s="32" t="s">
        <v>1664</v>
      </c>
      <c r="L206" s="27"/>
    </row>
    <row r="207">
      <c r="A207" s="73" t="s">
        <v>5472</v>
      </c>
      <c r="B207" s="24" t="s">
        <v>1021</v>
      </c>
      <c r="C207" s="21" t="s">
        <v>4989</v>
      </c>
      <c r="D207" s="21" t="s">
        <v>4989</v>
      </c>
      <c r="E207" s="21">
        <v>0.065</v>
      </c>
      <c r="F207" s="21">
        <v>0.08</v>
      </c>
      <c r="G207" s="21">
        <v>0.07</v>
      </c>
      <c r="H207" s="21"/>
      <c r="I207" s="27"/>
      <c r="J207" s="23"/>
      <c r="K207" s="32" t="s">
        <v>1664</v>
      </c>
      <c r="L207" s="27"/>
    </row>
    <row r="208">
      <c r="A208" s="73" t="s">
        <v>5473</v>
      </c>
      <c r="B208" s="24" t="s">
        <v>1021</v>
      </c>
      <c r="C208" s="21" t="s">
        <v>5007</v>
      </c>
      <c r="D208" s="21" t="s">
        <v>5007</v>
      </c>
      <c r="E208" s="21">
        <v>0.075</v>
      </c>
      <c r="F208" s="21">
        <v>0.075</v>
      </c>
      <c r="G208" s="21">
        <v>0.08</v>
      </c>
      <c r="H208" s="21"/>
      <c r="I208" s="27"/>
      <c r="J208" s="23"/>
      <c r="K208" s="32" t="s">
        <v>1664</v>
      </c>
      <c r="L208" s="27"/>
    </row>
    <row r="209">
      <c r="A209" s="73" t="s">
        <v>5474</v>
      </c>
      <c r="B209" s="24" t="s">
        <v>1021</v>
      </c>
      <c r="C209" s="21" t="s">
        <v>5013</v>
      </c>
      <c r="D209" s="21" t="s">
        <v>5013</v>
      </c>
      <c r="E209" s="21">
        <v>0.075</v>
      </c>
      <c r="F209" s="21">
        <v>0.075</v>
      </c>
      <c r="G209" s="21">
        <v>0.08</v>
      </c>
      <c r="H209" s="21"/>
      <c r="I209" s="27"/>
      <c r="J209" s="23"/>
      <c r="K209" s="32" t="s">
        <v>1664</v>
      </c>
      <c r="L209" s="27"/>
    </row>
    <row r="210">
      <c r="A210" s="73" t="s">
        <v>5475</v>
      </c>
      <c r="B210" s="24" t="s">
        <v>1021</v>
      </c>
      <c r="C210" s="21" t="s">
        <v>5032</v>
      </c>
      <c r="D210" s="21" t="s">
        <v>5032</v>
      </c>
      <c r="E210" s="21">
        <v>0.05</v>
      </c>
      <c r="F210" s="21">
        <v>0.06</v>
      </c>
      <c r="G210" s="21">
        <v>0.16</v>
      </c>
      <c r="H210" s="21"/>
      <c r="I210" s="27"/>
      <c r="J210" s="23"/>
      <c r="K210" s="32" t="s">
        <v>1664</v>
      </c>
      <c r="L210" s="27"/>
    </row>
    <row r="211">
      <c r="A211" s="73" t="s">
        <v>5476</v>
      </c>
      <c r="B211" s="24" t="s">
        <v>1021</v>
      </c>
      <c r="C211" s="21" t="s">
        <v>5038</v>
      </c>
      <c r="D211" s="21" t="s">
        <v>5038</v>
      </c>
      <c r="E211" s="21">
        <v>0.055</v>
      </c>
      <c r="F211" s="21">
        <v>0.06</v>
      </c>
      <c r="G211" s="21">
        <v>0.16</v>
      </c>
      <c r="H211" s="21"/>
      <c r="I211" s="27"/>
      <c r="J211" s="23"/>
      <c r="K211" s="32" t="s">
        <v>1664</v>
      </c>
      <c r="L211" s="27"/>
    </row>
    <row r="212">
      <c r="A212" s="73" t="s">
        <v>5477</v>
      </c>
      <c r="B212" s="24" t="s">
        <v>700</v>
      </c>
      <c r="C212" s="21" t="s">
        <v>698</v>
      </c>
      <c r="D212" s="21" t="s">
        <v>698</v>
      </c>
      <c r="E212" s="21">
        <v>0.09</v>
      </c>
      <c r="F212" s="21">
        <v>0.09</v>
      </c>
      <c r="G212" s="21">
        <v>0.145</v>
      </c>
      <c r="H212" s="21"/>
      <c r="I212" s="27"/>
      <c r="J212" s="23"/>
      <c r="K212" s="32" t="s">
        <v>695</v>
      </c>
      <c r="L212" s="27"/>
    </row>
    <row r="213">
      <c r="A213" s="73" t="s">
        <v>5478</v>
      </c>
      <c r="B213" s="24" t="s">
        <v>975</v>
      </c>
      <c r="C213" s="21" t="s">
        <v>1331</v>
      </c>
      <c r="D213" s="21" t="s">
        <v>1331</v>
      </c>
      <c r="E213" s="21">
        <v>0.075</v>
      </c>
      <c r="F213" s="21">
        <v>0.07</v>
      </c>
      <c r="G213" s="21">
        <v>0.075</v>
      </c>
      <c r="H213" s="21"/>
      <c r="I213" s="27"/>
      <c r="J213" s="23"/>
      <c r="K213" s="32" t="s">
        <v>695</v>
      </c>
      <c r="L213" s="27"/>
    </row>
    <row r="214">
      <c r="A214" s="73" t="s">
        <v>5479</v>
      </c>
      <c r="B214" s="24" t="s">
        <v>700</v>
      </c>
      <c r="C214" s="21" t="s">
        <v>1719</v>
      </c>
      <c r="D214" s="21" t="s">
        <v>1719</v>
      </c>
      <c r="E214" s="21">
        <v>0.075</v>
      </c>
      <c r="F214" s="21">
        <v>0.07</v>
      </c>
      <c r="G214" s="21">
        <v>0.15</v>
      </c>
      <c r="H214" s="21"/>
      <c r="I214" s="27"/>
      <c r="J214" s="23"/>
      <c r="K214" s="32" t="s">
        <v>695</v>
      </c>
      <c r="L214" s="27"/>
    </row>
    <row r="215">
      <c r="A215" s="73" t="s">
        <v>5480</v>
      </c>
      <c r="B215" s="24" t="s">
        <v>700</v>
      </c>
      <c r="C215" s="21" t="s">
        <v>1888</v>
      </c>
      <c r="D215" s="21" t="s">
        <v>1888</v>
      </c>
      <c r="E215" s="21">
        <v>0.08</v>
      </c>
      <c r="F215" s="21">
        <v>0.08</v>
      </c>
      <c r="G215" s="21">
        <v>0.13</v>
      </c>
      <c r="H215" s="21"/>
      <c r="I215" s="27"/>
      <c r="J215" s="23"/>
      <c r="K215" s="32" t="s">
        <v>695</v>
      </c>
      <c r="L215" s="27"/>
    </row>
    <row r="216">
      <c r="A216" s="73" t="s">
        <v>5481</v>
      </c>
      <c r="B216" s="24" t="s">
        <v>700</v>
      </c>
      <c r="C216" s="21" t="s">
        <v>1894</v>
      </c>
      <c r="D216" s="21" t="s">
        <v>1894</v>
      </c>
      <c r="E216" s="21">
        <v>0.08</v>
      </c>
      <c r="F216" s="21">
        <v>0.08</v>
      </c>
      <c r="G216" s="21">
        <v>0.13</v>
      </c>
      <c r="H216" s="21"/>
      <c r="I216" s="27"/>
      <c r="J216" s="23"/>
      <c r="K216" s="32" t="s">
        <v>695</v>
      </c>
      <c r="L216" s="27"/>
    </row>
    <row r="217">
      <c r="A217" s="73" t="s">
        <v>5482</v>
      </c>
      <c r="B217" s="24" t="s">
        <v>700</v>
      </c>
      <c r="C217" s="21" t="s">
        <v>1900</v>
      </c>
      <c r="D217" s="21" t="s">
        <v>1900</v>
      </c>
      <c r="E217" s="21">
        <v>0.08</v>
      </c>
      <c r="F217" s="21">
        <v>0.08</v>
      </c>
      <c r="G217" s="21">
        <v>0.13</v>
      </c>
      <c r="H217" s="21"/>
      <c r="I217" s="27"/>
      <c r="J217" s="23"/>
      <c r="K217" s="32" t="s">
        <v>695</v>
      </c>
      <c r="L217" s="27"/>
    </row>
    <row r="218">
      <c r="A218" s="73" t="s">
        <v>5483</v>
      </c>
      <c r="B218" s="24" t="s">
        <v>907</v>
      </c>
      <c r="C218" s="21" t="s">
        <v>2776</v>
      </c>
      <c r="D218" s="21" t="s">
        <v>2776</v>
      </c>
      <c r="E218" s="21">
        <v>0.075</v>
      </c>
      <c r="F218" s="21">
        <v>0.073</v>
      </c>
      <c r="G218" s="21">
        <v>0.232</v>
      </c>
      <c r="H218" s="21"/>
      <c r="I218" s="27"/>
      <c r="J218" s="23"/>
      <c r="K218" s="32" t="s">
        <v>695</v>
      </c>
      <c r="L218" s="27"/>
    </row>
    <row r="219">
      <c r="A219" s="73" t="s">
        <v>5484</v>
      </c>
      <c r="B219" s="24" t="s">
        <v>907</v>
      </c>
      <c r="C219" s="21" t="s">
        <v>2791</v>
      </c>
      <c r="D219" s="21" t="s">
        <v>2791</v>
      </c>
      <c r="E219" s="21">
        <v>0.07</v>
      </c>
      <c r="F219" s="21">
        <v>0.08</v>
      </c>
      <c r="G219" s="21">
        <v>0.232</v>
      </c>
      <c r="H219" s="21"/>
      <c r="I219" s="27"/>
      <c r="J219" s="23"/>
      <c r="K219" s="32" t="s">
        <v>695</v>
      </c>
      <c r="L219" s="27"/>
    </row>
    <row r="220">
      <c r="A220" s="73" t="s">
        <v>5485</v>
      </c>
      <c r="B220" s="24" t="s">
        <v>907</v>
      </c>
      <c r="C220" s="21" t="s">
        <v>2805</v>
      </c>
      <c r="D220" s="21" t="s">
        <v>2805</v>
      </c>
      <c r="E220" s="21">
        <v>0.08</v>
      </c>
      <c r="F220" s="21">
        <v>0.08</v>
      </c>
      <c r="G220" s="21">
        <v>0.23</v>
      </c>
      <c r="H220" s="21"/>
      <c r="I220" s="27"/>
      <c r="J220" s="23"/>
      <c r="K220" s="32" t="s">
        <v>695</v>
      </c>
      <c r="L220" s="27"/>
    </row>
    <row r="221">
      <c r="A221" s="73" t="s">
        <v>5486</v>
      </c>
      <c r="B221" s="24" t="s">
        <v>700</v>
      </c>
      <c r="C221" s="21" t="s">
        <v>3897</v>
      </c>
      <c r="D221" s="21" t="s">
        <v>3897</v>
      </c>
      <c r="E221" s="21">
        <v>0.075</v>
      </c>
      <c r="F221" s="21">
        <v>0.062</v>
      </c>
      <c r="G221" s="21">
        <v>0.173</v>
      </c>
      <c r="H221" s="21"/>
      <c r="I221" s="27"/>
      <c r="J221" s="23"/>
      <c r="K221" s="32" t="s">
        <v>695</v>
      </c>
      <c r="L221" s="27"/>
    </row>
    <row r="222">
      <c r="A222" s="73" t="s">
        <v>5487</v>
      </c>
      <c r="B222" s="24" t="s">
        <v>700</v>
      </c>
      <c r="C222" s="21" t="s">
        <v>3903</v>
      </c>
      <c r="D222" s="21" t="s">
        <v>3903</v>
      </c>
      <c r="E222" s="21">
        <v>0.065</v>
      </c>
      <c r="F222" s="21">
        <v>0.062</v>
      </c>
      <c r="G222" s="21">
        <v>0.173</v>
      </c>
      <c r="H222" s="21"/>
      <c r="I222" s="27"/>
      <c r="J222" s="23"/>
      <c r="K222" s="32" t="s">
        <v>695</v>
      </c>
      <c r="L222" s="27"/>
    </row>
    <row r="223">
      <c r="A223" s="73" t="s">
        <v>5488</v>
      </c>
      <c r="B223" s="24" t="s">
        <v>700</v>
      </c>
      <c r="C223" s="21" t="s">
        <v>3921</v>
      </c>
      <c r="D223" s="21" t="s">
        <v>3921</v>
      </c>
      <c r="E223" s="21">
        <v>0.055</v>
      </c>
      <c r="F223" s="21">
        <v>0.055</v>
      </c>
      <c r="G223" s="21">
        <v>0.16</v>
      </c>
      <c r="H223" s="21"/>
      <c r="I223" s="27"/>
      <c r="J223" s="23"/>
      <c r="K223" s="32" t="s">
        <v>695</v>
      </c>
      <c r="L223" s="27"/>
    </row>
    <row r="224">
      <c r="A224" s="73" t="s">
        <v>5489</v>
      </c>
      <c r="B224" s="24" t="s">
        <v>700</v>
      </c>
      <c r="C224" s="21" t="s">
        <v>3909</v>
      </c>
      <c r="D224" s="21" t="s">
        <v>3909</v>
      </c>
      <c r="E224" s="21">
        <v>0.055</v>
      </c>
      <c r="F224" s="21">
        <v>0.055</v>
      </c>
      <c r="G224" s="21">
        <v>0.16</v>
      </c>
      <c r="H224" s="21"/>
      <c r="I224" s="27"/>
      <c r="J224" s="23"/>
      <c r="K224" s="32" t="s">
        <v>695</v>
      </c>
      <c r="L224" s="27"/>
    </row>
    <row r="225">
      <c r="A225" s="73" t="s">
        <v>5490</v>
      </c>
      <c r="B225" s="24" t="s">
        <v>700</v>
      </c>
      <c r="C225" s="21" t="s">
        <v>3915</v>
      </c>
      <c r="D225" s="21" t="s">
        <v>3915</v>
      </c>
      <c r="E225" s="21">
        <v>0.06</v>
      </c>
      <c r="F225" s="21">
        <v>0.06</v>
      </c>
      <c r="G225" s="21">
        <v>0.175</v>
      </c>
      <c r="H225" s="21"/>
      <c r="I225" s="27"/>
      <c r="J225" s="23"/>
      <c r="K225" s="32" t="s">
        <v>695</v>
      </c>
      <c r="L225" s="27"/>
    </row>
    <row r="226">
      <c r="A226" s="73" t="s">
        <v>5491</v>
      </c>
      <c r="B226" s="24" t="s">
        <v>700</v>
      </c>
      <c r="C226" s="21" t="s">
        <v>3933</v>
      </c>
      <c r="D226" s="21" t="s">
        <v>3933</v>
      </c>
      <c r="E226" s="21">
        <v>0.075</v>
      </c>
      <c r="F226" s="21">
        <v>0.062</v>
      </c>
      <c r="G226" s="21">
        <v>0.173</v>
      </c>
      <c r="H226" s="21"/>
      <c r="I226" s="27"/>
      <c r="J226" s="23"/>
      <c r="K226" s="32" t="s">
        <v>695</v>
      </c>
      <c r="L226" s="27"/>
    </row>
    <row r="227">
      <c r="A227" s="73" t="s">
        <v>5492</v>
      </c>
      <c r="B227" s="24" t="s">
        <v>700</v>
      </c>
      <c r="C227" s="21" t="s">
        <v>3927</v>
      </c>
      <c r="D227" s="21" t="s">
        <v>3927</v>
      </c>
      <c r="E227" s="21">
        <v>0.062</v>
      </c>
      <c r="F227" s="21">
        <v>0.062</v>
      </c>
      <c r="G227" s="21">
        <v>0.173</v>
      </c>
      <c r="H227" s="21"/>
      <c r="I227" s="27"/>
      <c r="J227" s="23"/>
      <c r="K227" s="32" t="s">
        <v>695</v>
      </c>
      <c r="L227" s="27"/>
    </row>
    <row r="228">
      <c r="A228" s="73" t="s">
        <v>5493</v>
      </c>
      <c r="B228" s="24" t="s">
        <v>700</v>
      </c>
      <c r="C228" s="21" t="s">
        <v>4301</v>
      </c>
      <c r="D228" s="21" t="s">
        <v>4301</v>
      </c>
      <c r="E228" s="21">
        <v>0.04</v>
      </c>
      <c r="F228" s="21">
        <v>0.06</v>
      </c>
      <c r="G228" s="21">
        <v>0.16</v>
      </c>
      <c r="H228" s="21"/>
      <c r="I228" s="27"/>
      <c r="J228" s="23"/>
      <c r="K228" s="32" t="s">
        <v>695</v>
      </c>
      <c r="L228" s="27"/>
    </row>
    <row r="229">
      <c r="A229" s="73" t="s">
        <v>5494</v>
      </c>
      <c r="B229" s="24" t="s">
        <v>700</v>
      </c>
      <c r="C229" s="21" t="s">
        <v>4307</v>
      </c>
      <c r="D229" s="21" t="s">
        <v>4307</v>
      </c>
      <c r="E229" s="21">
        <v>0.04</v>
      </c>
      <c r="F229" s="21">
        <v>0.055</v>
      </c>
      <c r="G229" s="21">
        <v>0.16</v>
      </c>
      <c r="H229" s="21"/>
      <c r="I229" s="27"/>
      <c r="J229" s="23"/>
      <c r="K229" s="32" t="s">
        <v>695</v>
      </c>
      <c r="L229" s="27"/>
    </row>
    <row r="230">
      <c r="A230" s="73" t="s">
        <v>5495</v>
      </c>
      <c r="B230" s="24" t="s">
        <v>700</v>
      </c>
      <c r="C230" s="21" t="s">
        <v>5045</v>
      </c>
      <c r="D230" s="21" t="s">
        <v>5045</v>
      </c>
      <c r="E230" s="21">
        <v>0.08</v>
      </c>
      <c r="F230" s="21">
        <v>0.08</v>
      </c>
      <c r="G230" s="21">
        <v>0.26</v>
      </c>
      <c r="H230" s="21"/>
      <c r="I230" s="27"/>
      <c r="J230" s="23"/>
      <c r="K230" s="32" t="s">
        <v>695</v>
      </c>
      <c r="L230" s="27"/>
    </row>
    <row r="231">
      <c r="A231" s="73" t="s">
        <v>5496</v>
      </c>
      <c r="B231" s="24" t="s">
        <v>700</v>
      </c>
      <c r="C231" s="21" t="s">
        <v>5051</v>
      </c>
      <c r="D231" s="21" t="s">
        <v>5051</v>
      </c>
      <c r="E231" s="21">
        <v>0.075</v>
      </c>
      <c r="F231" s="21">
        <v>0.08</v>
      </c>
      <c r="G231" s="21">
        <v>0.26</v>
      </c>
      <c r="H231" s="21"/>
      <c r="I231" s="27"/>
      <c r="J231" s="23"/>
      <c r="K231" s="32" t="s">
        <v>695</v>
      </c>
      <c r="L231" s="27"/>
    </row>
    <row r="232">
      <c r="A232" s="73" t="s">
        <v>5497</v>
      </c>
      <c r="B232" s="24" t="s">
        <v>700</v>
      </c>
      <c r="C232" s="21" t="s">
        <v>5057</v>
      </c>
      <c r="D232" s="21" t="s">
        <v>5057</v>
      </c>
      <c r="E232" s="21">
        <v>0.075</v>
      </c>
      <c r="F232" s="21">
        <v>0.08</v>
      </c>
      <c r="G232" s="21">
        <v>0.26</v>
      </c>
      <c r="H232" s="21"/>
      <c r="I232" s="27"/>
      <c r="J232" s="23"/>
      <c r="K232" s="32" t="s">
        <v>695</v>
      </c>
      <c r="L232" s="27"/>
    </row>
    <row r="233">
      <c r="A233" s="73" t="s">
        <v>5498</v>
      </c>
      <c r="B233" s="24" t="s">
        <v>700</v>
      </c>
      <c r="C233" s="21" t="s">
        <v>5070</v>
      </c>
      <c r="D233" s="21" t="s">
        <v>5070</v>
      </c>
      <c r="E233" s="21">
        <v>0.065</v>
      </c>
      <c r="F233" s="21">
        <v>0.06</v>
      </c>
      <c r="G233" s="21">
        <v>0.17</v>
      </c>
      <c r="H233" s="21"/>
      <c r="I233" s="27"/>
      <c r="J233" s="23"/>
      <c r="K233" s="32" t="s">
        <v>695</v>
      </c>
      <c r="L233" s="27"/>
    </row>
    <row r="234">
      <c r="A234" s="73" t="s">
        <v>5499</v>
      </c>
      <c r="B234" s="24" t="s">
        <v>700</v>
      </c>
      <c r="C234" s="21" t="s">
        <v>5076</v>
      </c>
      <c r="D234" s="21" t="s">
        <v>5076</v>
      </c>
      <c r="E234" s="21">
        <v>0.055</v>
      </c>
      <c r="F234" s="21">
        <v>0.06</v>
      </c>
      <c r="G234" s="21">
        <v>0.17</v>
      </c>
      <c r="H234" s="21"/>
      <c r="I234" s="27"/>
      <c r="J234" s="23"/>
      <c r="K234" s="32" t="s">
        <v>695</v>
      </c>
      <c r="L234" s="27"/>
    </row>
    <row r="235">
      <c r="A235" s="73" t="s">
        <v>5500</v>
      </c>
      <c r="B235" s="24" t="s">
        <v>700</v>
      </c>
      <c r="C235" s="21" t="s">
        <v>5064</v>
      </c>
      <c r="D235" s="21" t="s">
        <v>5064</v>
      </c>
      <c r="E235" s="21">
        <v>0.075</v>
      </c>
      <c r="F235" s="21">
        <v>0.06</v>
      </c>
      <c r="G235" s="21">
        <v>0.17</v>
      </c>
      <c r="H235" s="21"/>
      <c r="I235" s="27"/>
      <c r="J235" s="23"/>
      <c r="K235" s="32" t="s">
        <v>695</v>
      </c>
      <c r="L235" s="27"/>
    </row>
    <row r="236">
      <c r="A236" s="73" t="s">
        <v>5501</v>
      </c>
      <c r="B236" s="24" t="s">
        <v>700</v>
      </c>
      <c r="C236" s="21" t="s">
        <v>5082</v>
      </c>
      <c r="D236" s="21" t="s">
        <v>5082</v>
      </c>
      <c r="E236" s="21">
        <v>0.056</v>
      </c>
      <c r="F236" s="21">
        <v>0.06</v>
      </c>
      <c r="G236" s="21">
        <v>0.17</v>
      </c>
      <c r="H236" s="21"/>
      <c r="I236" s="27"/>
      <c r="J236" s="23"/>
      <c r="K236" s="32" t="s">
        <v>695</v>
      </c>
      <c r="L236" s="27"/>
    </row>
    <row r="237">
      <c r="A237" s="73" t="s">
        <v>5502</v>
      </c>
      <c r="B237" s="24" t="s">
        <v>700</v>
      </c>
      <c r="C237" s="21" t="s">
        <v>5088</v>
      </c>
      <c r="D237" s="21" t="s">
        <v>5088</v>
      </c>
      <c r="E237" s="21">
        <v>0.06</v>
      </c>
      <c r="F237" s="21">
        <v>0.06</v>
      </c>
      <c r="G237" s="21">
        <v>0.17</v>
      </c>
      <c r="H237" s="21"/>
      <c r="I237" s="27"/>
      <c r="J237" s="23"/>
      <c r="K237" s="32" t="s">
        <v>695</v>
      </c>
      <c r="L237" s="27"/>
    </row>
    <row r="238">
      <c r="A238" s="73" t="s">
        <v>5503</v>
      </c>
      <c r="B238" s="24" t="s">
        <v>501</v>
      </c>
      <c r="C238" s="21" t="s">
        <v>2080</v>
      </c>
      <c r="D238" s="21" t="s">
        <v>2080</v>
      </c>
      <c r="E238" s="21">
        <v>0.02</v>
      </c>
      <c r="F238" s="21">
        <v>0.11</v>
      </c>
      <c r="G238" s="21">
        <v>0.065</v>
      </c>
      <c r="H238" s="21"/>
      <c r="I238" s="27"/>
      <c r="J238" s="23"/>
      <c r="K238" s="24" t="s">
        <v>2061</v>
      </c>
      <c r="L238" s="27"/>
    </row>
    <row r="239">
      <c r="A239" s="73" t="s">
        <v>5504</v>
      </c>
      <c r="B239" s="24" t="s">
        <v>501</v>
      </c>
      <c r="C239" s="21" t="s">
        <v>2094</v>
      </c>
      <c r="D239" s="21" t="s">
        <v>2094</v>
      </c>
      <c r="E239" s="21">
        <v>0.02</v>
      </c>
      <c r="F239" s="21">
        <v>0.11</v>
      </c>
      <c r="G239" s="21">
        <v>0.065</v>
      </c>
      <c r="H239" s="21"/>
      <c r="I239" s="27"/>
      <c r="J239" s="23"/>
      <c r="K239" s="24" t="s">
        <v>2061</v>
      </c>
      <c r="L239" s="27"/>
    </row>
    <row r="240">
      <c r="A240" s="73" t="s">
        <v>5505</v>
      </c>
      <c r="B240" s="24" t="s">
        <v>501</v>
      </c>
      <c r="C240" s="21" t="s">
        <v>2064</v>
      </c>
      <c r="D240" s="21" t="s">
        <v>2064</v>
      </c>
      <c r="E240" s="21">
        <v>0.037</v>
      </c>
      <c r="F240" s="21">
        <v>0.08</v>
      </c>
      <c r="G240" s="21">
        <v>0.142</v>
      </c>
      <c r="H240" s="21"/>
      <c r="I240" s="27"/>
      <c r="J240" s="23"/>
      <c r="K240" s="24" t="s">
        <v>2061</v>
      </c>
      <c r="L240" s="27"/>
    </row>
    <row r="241">
      <c r="A241" s="73" t="s">
        <v>5506</v>
      </c>
      <c r="B241" s="24" t="s">
        <v>501</v>
      </c>
      <c r="C241" s="21" t="s">
        <v>2073</v>
      </c>
      <c r="D241" s="21" t="s">
        <v>2073</v>
      </c>
      <c r="E241" s="21">
        <v>0.05</v>
      </c>
      <c r="F241" s="21">
        <v>0.07</v>
      </c>
      <c r="G241" s="21">
        <v>0.105</v>
      </c>
      <c r="H241" s="21"/>
      <c r="I241" s="27"/>
      <c r="J241" s="23"/>
      <c r="K241" s="24" t="s">
        <v>2061</v>
      </c>
      <c r="L241" s="27"/>
    </row>
    <row r="242">
      <c r="A242" s="73" t="s">
        <v>5507</v>
      </c>
      <c r="B242" s="24" t="s">
        <v>501</v>
      </c>
      <c r="C242" s="21" t="s">
        <v>2087</v>
      </c>
      <c r="D242" s="21" t="s">
        <v>2087</v>
      </c>
      <c r="E242" s="21">
        <v>0.037</v>
      </c>
      <c r="F242" s="21">
        <v>0.08</v>
      </c>
      <c r="G242" s="21">
        <v>0.142</v>
      </c>
      <c r="H242" s="21"/>
      <c r="I242" s="27"/>
      <c r="J242" s="23"/>
      <c r="K242" s="24" t="s">
        <v>2061</v>
      </c>
      <c r="L242" s="27"/>
    </row>
    <row r="243">
      <c r="A243" s="73" t="s">
        <v>5508</v>
      </c>
      <c r="B243" s="24" t="s">
        <v>109</v>
      </c>
      <c r="C243" s="21" t="s">
        <v>2056</v>
      </c>
      <c r="D243" s="21" t="s">
        <v>2056</v>
      </c>
      <c r="E243" s="21">
        <v>0.04</v>
      </c>
      <c r="F243" s="21">
        <v>0.14</v>
      </c>
      <c r="G243" s="21">
        <v>0.23</v>
      </c>
      <c r="H243" s="21"/>
      <c r="I243" s="27"/>
      <c r="J243" s="23"/>
      <c r="K243" s="24" t="s">
        <v>2047</v>
      </c>
      <c r="L243" s="27"/>
    </row>
    <row r="244">
      <c r="A244" s="73" t="s">
        <v>5509</v>
      </c>
      <c r="B244" s="24" t="s">
        <v>109</v>
      </c>
      <c r="C244" s="21" t="s">
        <v>2050</v>
      </c>
      <c r="D244" s="21" t="s">
        <v>2050</v>
      </c>
      <c r="E244" s="21">
        <v>0.04</v>
      </c>
      <c r="F244" s="21">
        <v>0.14</v>
      </c>
      <c r="G244" s="21">
        <v>0.23</v>
      </c>
      <c r="H244" s="21"/>
      <c r="I244" s="27"/>
      <c r="J244" s="23"/>
      <c r="K244" s="24" t="s">
        <v>2047</v>
      </c>
      <c r="L244" s="27"/>
    </row>
    <row r="245">
      <c r="A245" s="73" t="s">
        <v>5510</v>
      </c>
      <c r="B245" s="24" t="s">
        <v>592</v>
      </c>
      <c r="C245" s="21" t="s">
        <v>590</v>
      </c>
      <c r="D245" s="21" t="s">
        <v>590</v>
      </c>
      <c r="E245" s="21">
        <v>0.04</v>
      </c>
      <c r="F245" s="21">
        <v>0.14</v>
      </c>
      <c r="G245" s="21">
        <v>0.24</v>
      </c>
      <c r="H245" s="21"/>
      <c r="I245" s="27"/>
      <c r="J245" s="23"/>
      <c r="K245" s="24" t="s">
        <v>587</v>
      </c>
      <c r="L245" s="27"/>
    </row>
    <row r="246">
      <c r="A246" s="73" t="s">
        <v>5511</v>
      </c>
      <c r="B246" s="24" t="s">
        <v>185</v>
      </c>
      <c r="C246" s="21" t="s">
        <v>2395</v>
      </c>
      <c r="D246" s="21" t="s">
        <v>2395</v>
      </c>
      <c r="E246" s="21">
        <v>0.05</v>
      </c>
      <c r="F246" s="21">
        <v>0.245</v>
      </c>
      <c r="G246" s="21">
        <v>0.075</v>
      </c>
      <c r="H246" s="21"/>
      <c r="I246" s="27"/>
      <c r="J246" s="23"/>
      <c r="K246" s="24" t="s">
        <v>2359</v>
      </c>
      <c r="L246" s="27"/>
    </row>
    <row r="247">
      <c r="A247" s="73" t="s">
        <v>5512</v>
      </c>
      <c r="B247" s="24" t="s">
        <v>185</v>
      </c>
      <c r="C247" s="21" t="s">
        <v>2451</v>
      </c>
      <c r="D247" s="21" t="s">
        <v>2451</v>
      </c>
      <c r="E247" s="21">
        <v>0.02</v>
      </c>
      <c r="F247" s="21">
        <v>0.195</v>
      </c>
      <c r="G247" s="21">
        <v>0.07</v>
      </c>
      <c r="H247" s="21"/>
      <c r="I247" s="27"/>
      <c r="J247" s="23"/>
      <c r="K247" s="24" t="s">
        <v>2359</v>
      </c>
      <c r="L247" s="27"/>
    </row>
    <row r="248">
      <c r="A248" s="73" t="s">
        <v>5513</v>
      </c>
      <c r="B248" s="24" t="s">
        <v>185</v>
      </c>
      <c r="C248" s="21" t="s">
        <v>2426</v>
      </c>
      <c r="D248" s="21" t="s">
        <v>2426</v>
      </c>
      <c r="E248" s="21">
        <v>0.02</v>
      </c>
      <c r="F248" s="21">
        <v>0.265</v>
      </c>
      <c r="G248" s="21">
        <v>0.09999999</v>
      </c>
      <c r="H248" s="21"/>
      <c r="I248" s="27"/>
      <c r="J248" s="23"/>
      <c r="K248" s="24" t="s">
        <v>2359</v>
      </c>
      <c r="L248" s="27"/>
    </row>
    <row r="249">
      <c r="A249" s="73" t="s">
        <v>5514</v>
      </c>
      <c r="B249" s="24" t="s">
        <v>185</v>
      </c>
      <c r="C249" s="21" t="s">
        <v>2370</v>
      </c>
      <c r="D249" s="21" t="s">
        <v>2370</v>
      </c>
      <c r="E249" s="21">
        <v>0.02</v>
      </c>
      <c r="F249" s="21">
        <v>0.195</v>
      </c>
      <c r="G249" s="21">
        <v>0.07</v>
      </c>
      <c r="H249" s="21"/>
      <c r="I249" s="27"/>
      <c r="J249" s="23"/>
      <c r="K249" s="24" t="s">
        <v>2359</v>
      </c>
      <c r="L249" s="27"/>
    </row>
    <row r="250">
      <c r="A250" s="73" t="s">
        <v>5515</v>
      </c>
      <c r="B250" s="24" t="s">
        <v>185</v>
      </c>
      <c r="C250" s="21" t="s">
        <v>2432</v>
      </c>
      <c r="D250" s="21" t="s">
        <v>2432</v>
      </c>
      <c r="E250" s="21">
        <v>0.02</v>
      </c>
      <c r="F250" s="21">
        <v>0.26</v>
      </c>
      <c r="G250" s="21">
        <v>0.09999999</v>
      </c>
      <c r="H250" s="21"/>
      <c r="I250" s="27"/>
      <c r="J250" s="23"/>
      <c r="K250" s="24" t="s">
        <v>2359</v>
      </c>
      <c r="L250" s="27"/>
    </row>
    <row r="251">
      <c r="A251" s="73" t="s">
        <v>5516</v>
      </c>
      <c r="B251" s="24" t="s">
        <v>185</v>
      </c>
      <c r="C251" s="21" t="s">
        <v>2438</v>
      </c>
      <c r="D251" s="21" t="s">
        <v>2438</v>
      </c>
      <c r="E251" s="21">
        <v>0.02</v>
      </c>
      <c r="F251" s="21">
        <v>0.245</v>
      </c>
      <c r="G251" s="21">
        <v>0.075</v>
      </c>
      <c r="H251" s="21"/>
      <c r="I251" s="27"/>
      <c r="J251" s="23"/>
      <c r="K251" s="24" t="s">
        <v>2359</v>
      </c>
      <c r="L251" s="27"/>
    </row>
    <row r="252">
      <c r="A252" s="73" t="s">
        <v>5517</v>
      </c>
      <c r="B252" s="24" t="s">
        <v>185</v>
      </c>
      <c r="C252" s="21" t="s">
        <v>2457</v>
      </c>
      <c r="D252" s="21" t="s">
        <v>2457</v>
      </c>
      <c r="E252" s="21">
        <v>0.073</v>
      </c>
      <c r="F252" s="21">
        <v>0.128</v>
      </c>
      <c r="G252" s="21">
        <v>0.22</v>
      </c>
      <c r="H252" s="21"/>
      <c r="I252" s="27"/>
      <c r="J252" s="23"/>
      <c r="K252" s="24" t="s">
        <v>2359</v>
      </c>
      <c r="L252" s="27"/>
    </row>
    <row r="253">
      <c r="A253" s="73" t="s">
        <v>5518</v>
      </c>
      <c r="B253" s="24" t="s">
        <v>185</v>
      </c>
      <c r="C253" s="21" t="s">
        <v>2420</v>
      </c>
      <c r="D253" s="21" t="s">
        <v>2420</v>
      </c>
      <c r="E253" s="21">
        <v>0.07</v>
      </c>
      <c r="F253" s="21">
        <v>0.13</v>
      </c>
      <c r="G253" s="21">
        <v>0.2</v>
      </c>
      <c r="H253" s="21"/>
      <c r="I253" s="27"/>
      <c r="J253" s="23"/>
      <c r="K253" s="24" t="s">
        <v>2359</v>
      </c>
      <c r="L253" s="27"/>
    </row>
    <row r="254">
      <c r="A254" s="73" t="s">
        <v>5519</v>
      </c>
      <c r="B254" s="24" t="s">
        <v>185</v>
      </c>
      <c r="C254" s="21" t="s">
        <v>2414</v>
      </c>
      <c r="D254" s="21" t="s">
        <v>2414</v>
      </c>
      <c r="E254" s="21">
        <v>0.07</v>
      </c>
      <c r="F254" s="21">
        <v>0.13</v>
      </c>
      <c r="G254" s="21">
        <v>0.2</v>
      </c>
      <c r="H254" s="21"/>
      <c r="I254" s="27"/>
      <c r="J254" s="23"/>
      <c r="K254" s="24" t="s">
        <v>2359</v>
      </c>
      <c r="L254" s="27"/>
    </row>
    <row r="255">
      <c r="A255" s="73" t="s">
        <v>5520</v>
      </c>
      <c r="B255" s="24" t="s">
        <v>185</v>
      </c>
      <c r="C255" s="21" t="s">
        <v>2407</v>
      </c>
      <c r="D255" s="21" t="s">
        <v>2407</v>
      </c>
      <c r="E255" s="21">
        <v>0.07</v>
      </c>
      <c r="F255" s="21">
        <v>0.13</v>
      </c>
      <c r="G255" s="21">
        <v>0.2</v>
      </c>
      <c r="H255" s="21"/>
      <c r="I255" s="27"/>
      <c r="J255" s="23"/>
      <c r="K255" s="24" t="s">
        <v>2359</v>
      </c>
      <c r="L255" s="27"/>
    </row>
    <row r="256">
      <c r="A256" s="73" t="s">
        <v>5521</v>
      </c>
      <c r="B256" s="24" t="s">
        <v>501</v>
      </c>
      <c r="C256" s="21" t="s">
        <v>2376</v>
      </c>
      <c r="D256" s="21" t="s">
        <v>2376</v>
      </c>
      <c r="E256" s="21">
        <v>0.02</v>
      </c>
      <c r="F256" s="21">
        <v>0.09999999</v>
      </c>
      <c r="G256" s="21">
        <v>0.045</v>
      </c>
      <c r="H256" s="21"/>
      <c r="I256" s="27"/>
      <c r="J256" s="23"/>
      <c r="K256" s="24" t="s">
        <v>2359</v>
      </c>
      <c r="L256" s="27"/>
    </row>
    <row r="257">
      <c r="A257" s="73" t="s">
        <v>5522</v>
      </c>
      <c r="B257" s="24" t="s">
        <v>501</v>
      </c>
      <c r="C257" s="21" t="s">
        <v>2389</v>
      </c>
      <c r="D257" s="21" t="s">
        <v>2389</v>
      </c>
      <c r="E257" s="21">
        <v>0.02</v>
      </c>
      <c r="F257" s="21">
        <v>0.09999999</v>
      </c>
      <c r="G257" s="21">
        <v>0.045</v>
      </c>
      <c r="H257" s="21"/>
      <c r="I257" s="27"/>
      <c r="J257" s="23"/>
      <c r="K257" s="24" t="s">
        <v>2359</v>
      </c>
      <c r="L257" s="27"/>
    </row>
    <row r="258">
      <c r="A258" s="73" t="s">
        <v>5523</v>
      </c>
      <c r="B258" s="24" t="s">
        <v>501</v>
      </c>
      <c r="C258" s="21" t="s">
        <v>2444</v>
      </c>
      <c r="D258" s="21" t="s">
        <v>2444</v>
      </c>
      <c r="E258" s="21">
        <v>0.02</v>
      </c>
      <c r="F258" s="21">
        <v>0.095</v>
      </c>
      <c r="G258" s="21">
        <v>0.065</v>
      </c>
      <c r="H258" s="21"/>
      <c r="I258" s="27"/>
      <c r="J258" s="23"/>
      <c r="K258" s="24" t="s">
        <v>2359</v>
      </c>
      <c r="L258" s="27"/>
    </row>
    <row r="259">
      <c r="A259" s="73" t="s">
        <v>5524</v>
      </c>
      <c r="B259" s="24" t="s">
        <v>2364</v>
      </c>
      <c r="C259" s="21" t="s">
        <v>2401</v>
      </c>
      <c r="D259" s="21" t="s">
        <v>2401</v>
      </c>
      <c r="E259" s="21">
        <v>0.03</v>
      </c>
      <c r="F259" s="21">
        <v>0.21</v>
      </c>
      <c r="G259" s="21">
        <v>0.09999999</v>
      </c>
      <c r="H259" s="21"/>
      <c r="I259" s="27"/>
      <c r="J259" s="23"/>
      <c r="K259" s="24" t="s">
        <v>2359</v>
      </c>
      <c r="L259" s="27"/>
    </row>
    <row r="260">
      <c r="A260" s="73" t="s">
        <v>5525</v>
      </c>
      <c r="B260" s="24" t="s">
        <v>2364</v>
      </c>
      <c r="C260" s="21" t="s">
        <v>2383</v>
      </c>
      <c r="D260" s="21" t="s">
        <v>2383</v>
      </c>
      <c r="E260" s="21">
        <v>0.035</v>
      </c>
      <c r="F260" s="21">
        <v>0.245</v>
      </c>
      <c r="G260" s="21">
        <v>0.072</v>
      </c>
      <c r="H260" s="21"/>
      <c r="I260" s="27"/>
      <c r="J260" s="23"/>
      <c r="K260" s="24" t="s">
        <v>2359</v>
      </c>
      <c r="L260" s="27"/>
    </row>
    <row r="261">
      <c r="A261" s="73" t="s">
        <v>5526</v>
      </c>
      <c r="B261" s="24" t="s">
        <v>2364</v>
      </c>
      <c r="C261" s="21" t="s">
        <v>2362</v>
      </c>
      <c r="D261" s="21" t="s">
        <v>2362</v>
      </c>
      <c r="E261" s="21">
        <v>0.03</v>
      </c>
      <c r="F261" s="21">
        <v>0.21</v>
      </c>
      <c r="G261" s="21">
        <v>0.09999999</v>
      </c>
      <c r="H261" s="21"/>
      <c r="I261" s="27"/>
      <c r="J261" s="23"/>
      <c r="K261" s="24" t="s">
        <v>2359</v>
      </c>
      <c r="L261" s="27"/>
    </row>
    <row r="262">
      <c r="A262" s="73" t="s">
        <v>5527</v>
      </c>
      <c r="B262" s="24" t="s">
        <v>2364</v>
      </c>
      <c r="C262" s="21" t="s">
        <v>2465</v>
      </c>
      <c r="D262" s="21" t="s">
        <v>2465</v>
      </c>
      <c r="E262" s="21">
        <v>0.03</v>
      </c>
      <c r="F262" s="21">
        <v>0.15</v>
      </c>
      <c r="G262" s="21">
        <v>0.08</v>
      </c>
      <c r="H262" s="21"/>
      <c r="I262" s="27"/>
      <c r="J262" s="23"/>
      <c r="K262" s="24" t="s">
        <v>2462</v>
      </c>
      <c r="L262" s="27"/>
    </row>
    <row r="263">
      <c r="A263" s="73" t="s">
        <v>5528</v>
      </c>
      <c r="B263" s="24" t="s">
        <v>954</v>
      </c>
      <c r="C263" s="21" t="s">
        <v>2320</v>
      </c>
      <c r="D263" s="21" t="s">
        <v>2320</v>
      </c>
      <c r="E263" s="21">
        <v>0.044</v>
      </c>
      <c r="F263" s="21">
        <v>0.14</v>
      </c>
      <c r="G263" s="21">
        <v>0.135</v>
      </c>
      <c r="H263" s="21"/>
      <c r="I263" s="27"/>
      <c r="J263" s="23"/>
      <c r="K263" s="24" t="s">
        <v>2317</v>
      </c>
      <c r="L263" s="27"/>
    </row>
    <row r="264">
      <c r="A264" s="73" t="s">
        <v>5529</v>
      </c>
      <c r="B264" s="24" t="s">
        <v>954</v>
      </c>
      <c r="C264" s="21" t="s">
        <v>2332</v>
      </c>
      <c r="D264" s="21" t="s">
        <v>2332</v>
      </c>
      <c r="E264" s="21">
        <v>0.044</v>
      </c>
      <c r="F264" s="21">
        <v>0.14</v>
      </c>
      <c r="G264" s="21">
        <v>0.13</v>
      </c>
      <c r="H264" s="21"/>
      <c r="I264" s="27"/>
      <c r="J264" s="23"/>
      <c r="K264" s="24" t="s">
        <v>2317</v>
      </c>
      <c r="L264" s="27"/>
    </row>
    <row r="265">
      <c r="A265" s="73" t="s">
        <v>5530</v>
      </c>
      <c r="B265" s="24" t="s">
        <v>954</v>
      </c>
      <c r="C265" s="21" t="s">
        <v>2338</v>
      </c>
      <c r="D265" s="21" t="s">
        <v>2338</v>
      </c>
      <c r="E265" s="21">
        <v>0.044</v>
      </c>
      <c r="F265" s="21">
        <v>0.14</v>
      </c>
      <c r="G265" s="21">
        <v>0.13</v>
      </c>
      <c r="H265" s="21"/>
      <c r="I265" s="27"/>
      <c r="J265" s="23"/>
      <c r="K265" s="24" t="s">
        <v>2317</v>
      </c>
      <c r="L265" s="27"/>
    </row>
    <row r="266">
      <c r="A266" s="73" t="s">
        <v>5531</v>
      </c>
      <c r="B266" s="24" t="s">
        <v>954</v>
      </c>
      <c r="C266" s="21" t="s">
        <v>2326</v>
      </c>
      <c r="D266" s="21" t="s">
        <v>2326</v>
      </c>
      <c r="E266" s="21">
        <v>0.044</v>
      </c>
      <c r="F266" s="21">
        <v>0.14</v>
      </c>
      <c r="G266" s="21">
        <v>0.135</v>
      </c>
      <c r="H266" s="21"/>
      <c r="I266" s="27"/>
      <c r="J266" s="23"/>
      <c r="K266" s="24" t="s">
        <v>2317</v>
      </c>
      <c r="L266" s="27"/>
    </row>
    <row r="267">
      <c r="A267" s="73" t="s">
        <v>5532</v>
      </c>
      <c r="B267" s="24" t="s">
        <v>1222</v>
      </c>
      <c r="C267" s="21" t="s">
        <v>2346</v>
      </c>
      <c r="D267" s="21" t="s">
        <v>2346</v>
      </c>
      <c r="E267" s="21">
        <v>0.03</v>
      </c>
      <c r="F267" s="21">
        <v>0.075</v>
      </c>
      <c r="G267" s="21">
        <v>0.195</v>
      </c>
      <c r="H267" s="21"/>
      <c r="I267" s="27"/>
      <c r="J267" s="23"/>
      <c r="K267" s="24" t="s">
        <v>2343</v>
      </c>
      <c r="L267" s="27"/>
    </row>
    <row r="268">
      <c r="A268" s="73" t="s">
        <v>5533</v>
      </c>
      <c r="B268" s="24" t="s">
        <v>1222</v>
      </c>
      <c r="C268" s="21" t="s">
        <v>2354</v>
      </c>
      <c r="D268" s="21" t="s">
        <v>2354</v>
      </c>
      <c r="E268" s="21">
        <v>0.03</v>
      </c>
      <c r="F268" s="21">
        <v>0.075</v>
      </c>
      <c r="G268" s="21">
        <v>0.195</v>
      </c>
      <c r="H268" s="21"/>
      <c r="I268" s="27"/>
      <c r="J268" s="23"/>
      <c r="K268" s="24" t="s">
        <v>2343</v>
      </c>
      <c r="L268" s="27"/>
    </row>
    <row r="269">
      <c r="A269" s="73" t="s">
        <v>5534</v>
      </c>
      <c r="B269" s="24" t="s">
        <v>309</v>
      </c>
      <c r="C269" s="21" t="s">
        <v>2864</v>
      </c>
      <c r="D269" s="21" t="s">
        <v>2864</v>
      </c>
      <c r="E269" s="21">
        <v>0.02</v>
      </c>
      <c r="F269" s="21">
        <v>0.046</v>
      </c>
      <c r="G269" s="21">
        <v>0.076</v>
      </c>
      <c r="H269" s="21"/>
      <c r="I269" s="27"/>
      <c r="J269" s="23"/>
      <c r="K269" s="24" t="s">
        <v>2861</v>
      </c>
      <c r="L269" s="27"/>
    </row>
    <row r="270">
      <c r="A270" s="73" t="s">
        <v>5535</v>
      </c>
      <c r="B270" s="24" t="s">
        <v>309</v>
      </c>
      <c r="C270" s="21" t="s">
        <v>2870</v>
      </c>
      <c r="D270" s="21" t="s">
        <v>2870</v>
      </c>
      <c r="E270" s="21">
        <v>0.02</v>
      </c>
      <c r="F270" s="21">
        <v>0.046</v>
      </c>
      <c r="G270" s="21">
        <v>0.076</v>
      </c>
      <c r="H270" s="21"/>
      <c r="I270" s="27"/>
      <c r="J270" s="23"/>
      <c r="K270" s="24" t="s">
        <v>2861</v>
      </c>
      <c r="L270" s="27"/>
    </row>
    <row r="271">
      <c r="A271" s="73" t="s">
        <v>5536</v>
      </c>
      <c r="B271" s="24" t="s">
        <v>309</v>
      </c>
      <c r="C271" s="21" t="s">
        <v>2891</v>
      </c>
      <c r="D271" s="21" t="s">
        <v>2891</v>
      </c>
      <c r="E271" s="21">
        <v>0.02</v>
      </c>
      <c r="F271" s="21">
        <v>0.046</v>
      </c>
      <c r="G271" s="21">
        <v>0.076</v>
      </c>
      <c r="H271" s="21"/>
      <c r="I271" s="27"/>
      <c r="J271" s="23"/>
      <c r="K271" s="24" t="s">
        <v>2861</v>
      </c>
      <c r="L271" s="27"/>
    </row>
    <row r="272">
      <c r="A272" s="73" t="s">
        <v>5537</v>
      </c>
      <c r="B272" s="24" t="s">
        <v>309</v>
      </c>
      <c r="C272" s="21" t="s">
        <v>2876</v>
      </c>
      <c r="D272" s="21" t="s">
        <v>2876</v>
      </c>
      <c r="E272" s="21">
        <v>0.02</v>
      </c>
      <c r="F272" s="21">
        <v>0.045</v>
      </c>
      <c r="G272" s="21">
        <v>0.075</v>
      </c>
      <c r="H272" s="21"/>
      <c r="I272" s="27"/>
      <c r="J272" s="23"/>
      <c r="K272" s="24" t="s">
        <v>2861</v>
      </c>
      <c r="L272" s="27"/>
    </row>
    <row r="273">
      <c r="A273" s="73" t="s">
        <v>5538</v>
      </c>
      <c r="B273" s="24" t="s">
        <v>2611</v>
      </c>
      <c r="C273" s="21" t="s">
        <v>2884</v>
      </c>
      <c r="D273" s="21" t="s">
        <v>2884</v>
      </c>
      <c r="E273" s="21">
        <v>0.015</v>
      </c>
      <c r="F273" s="21">
        <v>0.12</v>
      </c>
      <c r="G273" s="21">
        <v>0.19</v>
      </c>
      <c r="H273" s="21"/>
      <c r="I273" s="27"/>
      <c r="J273" s="23"/>
      <c r="K273" s="24" t="s">
        <v>2861</v>
      </c>
      <c r="L273" s="27"/>
    </row>
    <row r="274">
      <c r="A274" s="73" t="s">
        <v>5539</v>
      </c>
      <c r="B274" s="24" t="s">
        <v>340</v>
      </c>
      <c r="C274" s="21" t="s">
        <v>2584</v>
      </c>
      <c r="D274" s="21" t="s">
        <v>2584</v>
      </c>
      <c r="E274" s="21">
        <v>0.065</v>
      </c>
      <c r="F274" s="21">
        <v>0.065</v>
      </c>
      <c r="G274" s="21">
        <v>0.095</v>
      </c>
      <c r="H274" s="21"/>
      <c r="I274" s="27"/>
      <c r="J274" s="23"/>
      <c r="K274" s="24" t="s">
        <v>2562</v>
      </c>
      <c r="L274" s="27"/>
    </row>
    <row r="275">
      <c r="A275" s="73" t="s">
        <v>5540</v>
      </c>
      <c r="B275" s="24" t="s">
        <v>340</v>
      </c>
      <c r="C275" s="21" t="s">
        <v>2578</v>
      </c>
      <c r="D275" s="21" t="s">
        <v>2578</v>
      </c>
      <c r="E275" s="21">
        <v>0.065</v>
      </c>
      <c r="F275" s="21">
        <v>0.065</v>
      </c>
      <c r="G275" s="21">
        <v>0.095</v>
      </c>
      <c r="H275" s="21"/>
      <c r="I275" s="27"/>
      <c r="J275" s="23"/>
      <c r="K275" s="24" t="s">
        <v>2562</v>
      </c>
      <c r="L275" s="27"/>
    </row>
    <row r="276">
      <c r="A276" s="73" t="s">
        <v>5541</v>
      </c>
      <c r="B276" s="24" t="s">
        <v>340</v>
      </c>
      <c r="C276" s="21" t="s">
        <v>2565</v>
      </c>
      <c r="D276" s="21" t="s">
        <v>2565</v>
      </c>
      <c r="E276" s="21">
        <v>0.065</v>
      </c>
      <c r="F276" s="21">
        <v>0.065</v>
      </c>
      <c r="G276" s="21">
        <v>0.095</v>
      </c>
      <c r="H276" s="21"/>
      <c r="I276" s="27"/>
      <c r="J276" s="23"/>
      <c r="K276" s="24" t="s">
        <v>2562</v>
      </c>
      <c r="L276" s="27"/>
    </row>
    <row r="277">
      <c r="A277" s="73" t="s">
        <v>5542</v>
      </c>
      <c r="B277" s="24" t="s">
        <v>340</v>
      </c>
      <c r="C277" s="21" t="s">
        <v>2572</v>
      </c>
      <c r="D277" s="21" t="s">
        <v>2572</v>
      </c>
      <c r="E277" s="21">
        <v>0.065</v>
      </c>
      <c r="F277" s="21">
        <v>0.065</v>
      </c>
      <c r="G277" s="21">
        <v>0.095</v>
      </c>
      <c r="H277" s="21"/>
      <c r="I277" s="27"/>
      <c r="J277" s="23"/>
      <c r="K277" s="24" t="s">
        <v>2562</v>
      </c>
      <c r="L277" s="27"/>
    </row>
    <row r="278">
      <c r="A278" s="73" t="s">
        <v>5543</v>
      </c>
      <c r="B278" s="24" t="s">
        <v>340</v>
      </c>
      <c r="C278" s="21" t="s">
        <v>2844</v>
      </c>
      <c r="D278" s="21" t="s">
        <v>2844</v>
      </c>
      <c r="E278" s="21">
        <v>0.066</v>
      </c>
      <c r="F278" s="21">
        <v>0.066</v>
      </c>
      <c r="G278" s="21">
        <v>0.168</v>
      </c>
      <c r="H278" s="21"/>
      <c r="I278" s="27"/>
      <c r="J278" s="23"/>
      <c r="K278" s="24" t="s">
        <v>2836</v>
      </c>
      <c r="L278" s="27"/>
    </row>
    <row r="279">
      <c r="A279" s="73" t="s">
        <v>5544</v>
      </c>
      <c r="B279" s="24" t="s">
        <v>340</v>
      </c>
      <c r="C279" s="21" t="s">
        <v>2856</v>
      </c>
      <c r="D279" s="21" t="s">
        <v>2856</v>
      </c>
      <c r="E279" s="21">
        <v>0.066</v>
      </c>
      <c r="F279" s="21">
        <v>0.066</v>
      </c>
      <c r="G279" s="21">
        <v>0.168</v>
      </c>
      <c r="H279" s="21"/>
      <c r="I279" s="27"/>
      <c r="J279" s="23"/>
      <c r="K279" s="24" t="s">
        <v>2836</v>
      </c>
      <c r="L279" s="27"/>
    </row>
    <row r="280">
      <c r="A280" s="73" t="s">
        <v>5545</v>
      </c>
      <c r="B280" s="24" t="s">
        <v>340</v>
      </c>
      <c r="C280" s="21" t="s">
        <v>2838</v>
      </c>
      <c r="D280" s="21" t="s">
        <v>2838</v>
      </c>
      <c r="E280" s="21">
        <v>0.066</v>
      </c>
      <c r="F280" s="21">
        <v>0.066</v>
      </c>
      <c r="G280" s="21">
        <v>0.168</v>
      </c>
      <c r="H280" s="21"/>
      <c r="I280" s="27"/>
      <c r="J280" s="23"/>
      <c r="K280" s="24" t="s">
        <v>2836</v>
      </c>
      <c r="L280" s="27"/>
    </row>
    <row r="281">
      <c r="A281" s="73" t="s">
        <v>5546</v>
      </c>
      <c r="B281" s="24" t="s">
        <v>340</v>
      </c>
      <c r="C281" s="21" t="s">
        <v>2850</v>
      </c>
      <c r="D281" s="21" t="s">
        <v>2850</v>
      </c>
      <c r="E281" s="21">
        <v>0.066</v>
      </c>
      <c r="F281" s="21">
        <v>0.066</v>
      </c>
      <c r="G281" s="21">
        <v>0.168</v>
      </c>
      <c r="H281" s="21"/>
      <c r="I281" s="27"/>
      <c r="J281" s="23"/>
      <c r="K281" s="24" t="s">
        <v>2836</v>
      </c>
      <c r="L281" s="27"/>
    </row>
    <row r="282">
      <c r="A282" s="73" t="s">
        <v>5547</v>
      </c>
      <c r="B282" s="24" t="s">
        <v>137</v>
      </c>
      <c r="C282" s="21" t="s">
        <v>2661</v>
      </c>
      <c r="D282" s="21" t="s">
        <v>2661</v>
      </c>
      <c r="E282" s="21">
        <v>0.06</v>
      </c>
      <c r="F282" s="21">
        <v>0.06</v>
      </c>
      <c r="G282" s="21">
        <v>0.23</v>
      </c>
      <c r="H282" s="21"/>
      <c r="I282" s="27"/>
      <c r="J282" s="23"/>
      <c r="K282" s="24" t="s">
        <v>2658</v>
      </c>
      <c r="L282" s="27"/>
    </row>
    <row r="283">
      <c r="A283" s="73" t="s">
        <v>5548</v>
      </c>
      <c r="B283" s="24" t="s">
        <v>137</v>
      </c>
      <c r="C283" s="21" t="s">
        <v>2668</v>
      </c>
      <c r="D283" s="21" t="s">
        <v>2668</v>
      </c>
      <c r="E283" s="21">
        <v>0.09</v>
      </c>
      <c r="F283" s="21">
        <v>0.09</v>
      </c>
      <c r="G283" s="21">
        <v>0.34</v>
      </c>
      <c r="H283" s="21"/>
      <c r="I283" s="27"/>
      <c r="J283" s="23"/>
      <c r="K283" s="24" t="s">
        <v>2658</v>
      </c>
      <c r="L283" s="27"/>
    </row>
    <row r="284">
      <c r="A284" s="73" t="s">
        <v>5549</v>
      </c>
      <c r="B284" s="24" t="s">
        <v>137</v>
      </c>
      <c r="C284" s="21" t="s">
        <v>2674</v>
      </c>
      <c r="D284" s="21" t="s">
        <v>2674</v>
      </c>
      <c r="E284" s="21">
        <v>0.087</v>
      </c>
      <c r="F284" s="21">
        <v>0.087</v>
      </c>
      <c r="G284" s="21">
        <v>0.255</v>
      </c>
      <c r="H284" s="21"/>
      <c r="I284" s="27"/>
      <c r="J284" s="23"/>
      <c r="K284" s="24" t="s">
        <v>2658</v>
      </c>
      <c r="L284" s="27"/>
    </row>
    <row r="285">
      <c r="A285" s="73" t="s">
        <v>5550</v>
      </c>
      <c r="B285" s="24" t="s">
        <v>2685</v>
      </c>
      <c r="C285" s="21" t="s">
        <v>2692</v>
      </c>
      <c r="D285" s="21" t="s">
        <v>2692</v>
      </c>
      <c r="E285" s="21">
        <v>0.02</v>
      </c>
      <c r="F285" s="21">
        <v>0.155</v>
      </c>
      <c r="G285" s="21">
        <v>0.085</v>
      </c>
      <c r="H285" s="21"/>
      <c r="I285" s="27"/>
      <c r="J285" s="23"/>
      <c r="K285" s="24" t="s">
        <v>2680</v>
      </c>
      <c r="L285" s="27"/>
    </row>
    <row r="286">
      <c r="A286" s="73" t="s">
        <v>5551</v>
      </c>
      <c r="B286" s="24" t="s">
        <v>2685</v>
      </c>
      <c r="C286" s="21" t="s">
        <v>2683</v>
      </c>
      <c r="D286" s="21" t="s">
        <v>2683</v>
      </c>
      <c r="E286" s="21">
        <v>0.02</v>
      </c>
      <c r="F286" s="21">
        <v>0.155</v>
      </c>
      <c r="G286" s="21">
        <v>0.085</v>
      </c>
      <c r="H286" s="21"/>
      <c r="I286" s="27"/>
      <c r="J286" s="23"/>
      <c r="K286" s="24" t="s">
        <v>2680</v>
      </c>
      <c r="L286" s="27"/>
    </row>
    <row r="287">
      <c r="A287" s="73" t="s">
        <v>5552</v>
      </c>
      <c r="B287" s="24" t="s">
        <v>2364</v>
      </c>
      <c r="C287" s="21" t="s">
        <v>2700</v>
      </c>
      <c r="D287" s="21" t="s">
        <v>2700</v>
      </c>
      <c r="E287" s="21">
        <v>0.06</v>
      </c>
      <c r="F287" s="21">
        <v>0.26</v>
      </c>
      <c r="G287" s="21">
        <v>0.09</v>
      </c>
      <c r="H287" s="21"/>
      <c r="I287" s="27"/>
      <c r="J287" s="23"/>
      <c r="K287" s="24" t="s">
        <v>2697</v>
      </c>
      <c r="L287" s="27"/>
    </row>
    <row r="288">
      <c r="A288" s="73" t="s">
        <v>5553</v>
      </c>
      <c r="B288" s="24" t="s">
        <v>2364</v>
      </c>
      <c r="C288" s="21" t="s">
        <v>2718</v>
      </c>
      <c r="D288" s="21" t="s">
        <v>2718</v>
      </c>
      <c r="E288" s="21">
        <v>0.035</v>
      </c>
      <c r="F288" s="21">
        <v>0.14</v>
      </c>
      <c r="G288" s="21">
        <v>0.17</v>
      </c>
      <c r="H288" s="21"/>
      <c r="I288" s="27"/>
      <c r="J288" s="23"/>
      <c r="K288" s="24" t="s">
        <v>2697</v>
      </c>
      <c r="L288" s="27"/>
    </row>
    <row r="289">
      <c r="A289" s="73" t="s">
        <v>5554</v>
      </c>
      <c r="B289" s="24" t="s">
        <v>2364</v>
      </c>
      <c r="C289" s="21" t="s">
        <v>2706</v>
      </c>
      <c r="D289" s="21" t="s">
        <v>2706</v>
      </c>
      <c r="E289" s="21">
        <v>0.06</v>
      </c>
      <c r="F289" s="21">
        <v>0.26</v>
      </c>
      <c r="G289" s="21">
        <v>0.09</v>
      </c>
      <c r="H289" s="21"/>
      <c r="I289" s="27"/>
      <c r="J289" s="23"/>
      <c r="K289" s="24" t="s">
        <v>2697</v>
      </c>
      <c r="L289" s="27"/>
    </row>
    <row r="290">
      <c r="A290" s="73" t="s">
        <v>5555</v>
      </c>
      <c r="B290" s="24" t="s">
        <v>626</v>
      </c>
      <c r="C290" s="21" t="s">
        <v>2712</v>
      </c>
      <c r="D290" s="21" t="s">
        <v>2712</v>
      </c>
      <c r="E290" s="21">
        <v>0.02</v>
      </c>
      <c r="F290" s="21">
        <v>0.15</v>
      </c>
      <c r="G290" s="21">
        <v>0.079</v>
      </c>
      <c r="H290" s="21"/>
      <c r="I290" s="27"/>
      <c r="J290" s="23"/>
      <c r="K290" s="24" t="s">
        <v>2697</v>
      </c>
      <c r="L290" s="27"/>
    </row>
    <row r="291">
      <c r="A291" s="73" t="s">
        <v>5556</v>
      </c>
      <c r="B291" s="24" t="s">
        <v>2756</v>
      </c>
      <c r="C291" s="21" t="s">
        <v>2754</v>
      </c>
      <c r="D291" s="21" t="s">
        <v>2754</v>
      </c>
      <c r="E291" s="21">
        <v>0.02</v>
      </c>
      <c r="F291" s="21">
        <v>0.06</v>
      </c>
      <c r="G291" s="21">
        <v>0.09999999</v>
      </c>
      <c r="H291" s="21"/>
      <c r="I291" s="27"/>
      <c r="J291" s="23"/>
      <c r="K291" s="24" t="s">
        <v>2743</v>
      </c>
      <c r="L291" s="27"/>
    </row>
    <row r="292">
      <c r="A292" s="73" t="s">
        <v>5557</v>
      </c>
      <c r="B292" s="24" t="s">
        <v>1011</v>
      </c>
      <c r="C292" s="21" t="s">
        <v>2763</v>
      </c>
      <c r="D292" s="21" t="s">
        <v>2763</v>
      </c>
      <c r="E292" s="21">
        <v>0.07</v>
      </c>
      <c r="F292" s="21">
        <v>0.07</v>
      </c>
      <c r="G292" s="21">
        <v>0.09</v>
      </c>
      <c r="H292" s="21"/>
      <c r="I292" s="27"/>
      <c r="J292" s="23"/>
      <c r="K292" s="24" t="s">
        <v>2743</v>
      </c>
      <c r="L292" s="27"/>
    </row>
    <row r="293">
      <c r="A293" s="73" t="s">
        <v>5558</v>
      </c>
      <c r="B293" s="24" t="s">
        <v>1011</v>
      </c>
      <c r="C293" s="21" t="s">
        <v>2746</v>
      </c>
      <c r="D293" s="21" t="s">
        <v>2746</v>
      </c>
      <c r="E293" s="21">
        <v>0.07</v>
      </c>
      <c r="F293" s="21">
        <v>0.07</v>
      </c>
      <c r="G293" s="21">
        <v>0.08</v>
      </c>
      <c r="H293" s="21"/>
      <c r="I293" s="27"/>
      <c r="J293" s="23"/>
      <c r="K293" s="24" t="s">
        <v>2743</v>
      </c>
      <c r="L293" s="27"/>
    </row>
    <row r="294">
      <c r="A294" s="73" t="s">
        <v>5559</v>
      </c>
      <c r="B294" s="24" t="s">
        <v>1011</v>
      </c>
      <c r="C294" s="21" t="s">
        <v>2769</v>
      </c>
      <c r="D294" s="21" t="s">
        <v>2769</v>
      </c>
      <c r="E294" s="21">
        <v>0.065</v>
      </c>
      <c r="F294" s="21">
        <v>0.065</v>
      </c>
      <c r="G294" s="21">
        <v>0.09</v>
      </c>
      <c r="H294" s="21"/>
      <c r="I294" s="27"/>
      <c r="J294" s="23"/>
      <c r="K294" s="24" t="s">
        <v>2743</v>
      </c>
      <c r="L294" s="27"/>
    </row>
    <row r="295">
      <c r="A295" s="73" t="s">
        <v>5560</v>
      </c>
      <c r="B295" s="24" t="s">
        <v>718</v>
      </c>
      <c r="C295" s="21" t="s">
        <v>2825</v>
      </c>
      <c r="D295" s="21" t="s">
        <v>2825</v>
      </c>
      <c r="E295" s="21">
        <v>0.065</v>
      </c>
      <c r="F295" s="21">
        <v>0.065</v>
      </c>
      <c r="G295" s="21">
        <v>0.24</v>
      </c>
      <c r="H295" s="21"/>
      <c r="I295" s="27"/>
      <c r="J295" s="23"/>
      <c r="K295" s="24" t="s">
        <v>2810</v>
      </c>
      <c r="L295" s="27"/>
    </row>
    <row r="296">
      <c r="A296" s="73" t="s">
        <v>5561</v>
      </c>
      <c r="B296" s="24" t="s">
        <v>718</v>
      </c>
      <c r="C296" s="21" t="s">
        <v>2813</v>
      </c>
      <c r="D296" s="21" t="s">
        <v>2813</v>
      </c>
      <c r="E296" s="21">
        <v>0.065</v>
      </c>
      <c r="F296" s="21">
        <v>0.065</v>
      </c>
      <c r="G296" s="21">
        <v>0.24</v>
      </c>
      <c r="H296" s="21"/>
      <c r="I296" s="27"/>
      <c r="J296" s="23"/>
      <c r="K296" s="24" t="s">
        <v>2810</v>
      </c>
      <c r="L296" s="27"/>
    </row>
    <row r="297">
      <c r="A297" s="73" t="s">
        <v>5562</v>
      </c>
      <c r="B297" s="24" t="s">
        <v>1351</v>
      </c>
      <c r="C297" s="21" t="s">
        <v>2819</v>
      </c>
      <c r="D297" s="21" t="s">
        <v>2819</v>
      </c>
      <c r="E297" s="21">
        <v>0.065</v>
      </c>
      <c r="F297" s="21">
        <v>0.065</v>
      </c>
      <c r="G297" s="21">
        <v>0.24</v>
      </c>
      <c r="H297" s="21"/>
      <c r="I297" s="27"/>
      <c r="J297" s="23"/>
      <c r="K297" s="24" t="s">
        <v>2810</v>
      </c>
      <c r="L297" s="27"/>
    </row>
    <row r="298">
      <c r="A298" s="73" t="s">
        <v>5563</v>
      </c>
      <c r="B298" s="24" t="s">
        <v>1351</v>
      </c>
      <c r="C298" s="21" t="s">
        <v>2831</v>
      </c>
      <c r="D298" s="21" t="s">
        <v>2831</v>
      </c>
      <c r="E298" s="21">
        <v>0.08</v>
      </c>
      <c r="F298" s="21">
        <v>0.08</v>
      </c>
      <c r="G298" s="21">
        <v>0.33</v>
      </c>
      <c r="H298" s="21"/>
      <c r="I298" s="27"/>
      <c r="J298" s="23"/>
      <c r="K298" s="24" t="s">
        <v>2810</v>
      </c>
      <c r="L298" s="27"/>
    </row>
    <row r="299">
      <c r="A299" s="73" t="s">
        <v>5564</v>
      </c>
      <c r="B299" s="24" t="s">
        <v>365</v>
      </c>
      <c r="C299" s="21" t="s">
        <v>5197</v>
      </c>
      <c r="D299" s="21" t="s">
        <v>5197</v>
      </c>
      <c r="E299" s="21">
        <v>0.055</v>
      </c>
      <c r="F299" s="21">
        <v>0.055</v>
      </c>
      <c r="G299" s="21">
        <v>0.239</v>
      </c>
      <c r="H299" s="21"/>
      <c r="I299" s="27"/>
      <c r="J299" s="23"/>
      <c r="K299" s="24" t="s">
        <v>2472</v>
      </c>
      <c r="L299" s="27"/>
    </row>
    <row r="300">
      <c r="A300" s="73" t="s">
        <v>5565</v>
      </c>
      <c r="B300" s="24" t="s">
        <v>365</v>
      </c>
      <c r="C300" s="21" t="s">
        <v>5199</v>
      </c>
      <c r="D300" s="21" t="s">
        <v>5199</v>
      </c>
      <c r="E300" s="21">
        <v>0.058</v>
      </c>
      <c r="F300" s="21">
        <v>0.058</v>
      </c>
      <c r="G300" s="21">
        <v>0.222</v>
      </c>
      <c r="H300" s="21"/>
      <c r="I300" s="27"/>
      <c r="J300" s="23"/>
      <c r="K300" s="24" t="s">
        <v>2472</v>
      </c>
      <c r="L300" s="27"/>
    </row>
    <row r="301">
      <c r="A301" s="73" t="s">
        <v>5566</v>
      </c>
      <c r="B301" s="24" t="s">
        <v>365</v>
      </c>
      <c r="C301" s="21" t="s">
        <v>5201</v>
      </c>
      <c r="D301" s="21" t="s">
        <v>5201</v>
      </c>
      <c r="E301" s="21">
        <v>0.065</v>
      </c>
      <c r="F301" s="21">
        <v>0.065</v>
      </c>
      <c r="G301" s="21">
        <v>0.17</v>
      </c>
      <c r="H301" s="21"/>
      <c r="I301" s="27"/>
      <c r="J301" s="23"/>
      <c r="K301" s="24" t="s">
        <v>2472</v>
      </c>
      <c r="L301" s="27"/>
    </row>
    <row r="302">
      <c r="A302" s="73" t="s">
        <v>5567</v>
      </c>
      <c r="B302" s="24" t="s">
        <v>365</v>
      </c>
      <c r="C302" s="21" t="s">
        <v>5203</v>
      </c>
      <c r="D302" s="21" t="s">
        <v>5203</v>
      </c>
      <c r="E302" s="21">
        <v>0.065</v>
      </c>
      <c r="F302" s="21">
        <v>0.065</v>
      </c>
      <c r="G302" s="21">
        <v>0.17</v>
      </c>
      <c r="H302" s="21"/>
      <c r="I302" s="27"/>
      <c r="J302" s="23"/>
      <c r="K302" s="24" t="s">
        <v>2472</v>
      </c>
      <c r="L302" s="27"/>
    </row>
    <row r="303">
      <c r="A303" s="73" t="s">
        <v>5568</v>
      </c>
      <c r="B303" s="24" t="s">
        <v>365</v>
      </c>
      <c r="C303" s="21" t="s">
        <v>2507</v>
      </c>
      <c r="D303" s="21" t="s">
        <v>2507</v>
      </c>
      <c r="E303" s="21">
        <v>0.06</v>
      </c>
      <c r="F303" s="21">
        <v>0.06</v>
      </c>
      <c r="G303" s="21">
        <v>0.228</v>
      </c>
      <c r="H303" s="21"/>
      <c r="I303" s="27"/>
      <c r="J303" s="23"/>
      <c r="K303" s="24" t="s">
        <v>2498</v>
      </c>
      <c r="L303" s="27"/>
    </row>
    <row r="304">
      <c r="A304" s="73" t="s">
        <v>5569</v>
      </c>
      <c r="B304" s="24" t="s">
        <v>365</v>
      </c>
      <c r="C304" s="21" t="s">
        <v>2501</v>
      </c>
      <c r="D304" s="21" t="s">
        <v>2501</v>
      </c>
      <c r="E304" s="21">
        <v>0.06</v>
      </c>
      <c r="F304" s="21">
        <v>0.06</v>
      </c>
      <c r="G304" s="21">
        <v>0.228</v>
      </c>
      <c r="H304" s="21"/>
      <c r="I304" s="27"/>
      <c r="J304" s="23"/>
      <c r="K304" s="24" t="s">
        <v>2498</v>
      </c>
      <c r="L304" s="27"/>
    </row>
    <row r="305">
      <c r="A305" s="73" t="s">
        <v>5570</v>
      </c>
      <c r="B305" s="24" t="s">
        <v>2518</v>
      </c>
      <c r="C305" s="21" t="s">
        <v>2543</v>
      </c>
      <c r="D305" s="21" t="s">
        <v>2543</v>
      </c>
      <c r="E305" s="21">
        <v>0.02</v>
      </c>
      <c r="F305" s="21">
        <v>0.08</v>
      </c>
      <c r="G305" s="21">
        <v>0.09999999</v>
      </c>
      <c r="H305" s="21"/>
      <c r="I305" s="27"/>
      <c r="J305" s="23"/>
      <c r="K305" s="24" t="s">
        <v>2512</v>
      </c>
      <c r="L305" s="27"/>
    </row>
    <row r="306">
      <c r="A306" s="73" t="s">
        <v>5571</v>
      </c>
      <c r="B306" s="24" t="s">
        <v>2518</v>
      </c>
      <c r="C306" s="21" t="s">
        <v>2516</v>
      </c>
      <c r="D306" s="21" t="s">
        <v>2516</v>
      </c>
      <c r="E306" s="21">
        <v>0.02</v>
      </c>
      <c r="F306" s="21">
        <v>0.08</v>
      </c>
      <c r="G306" s="21">
        <v>0.09999999</v>
      </c>
      <c r="H306" s="21"/>
      <c r="I306" s="27"/>
      <c r="J306" s="23"/>
      <c r="K306" s="24" t="s">
        <v>2512</v>
      </c>
      <c r="L306" s="27"/>
    </row>
    <row r="307">
      <c r="A307" s="73" t="s">
        <v>5572</v>
      </c>
      <c r="B307" s="24" t="s">
        <v>2518</v>
      </c>
      <c r="C307" s="21" t="s">
        <v>2537</v>
      </c>
      <c r="D307" s="21" t="s">
        <v>2537</v>
      </c>
      <c r="E307" s="21">
        <v>0.07</v>
      </c>
      <c r="F307" s="21">
        <v>0.08</v>
      </c>
      <c r="G307" s="21">
        <v>0.09999999</v>
      </c>
      <c r="H307" s="21"/>
      <c r="I307" s="27"/>
      <c r="J307" s="23"/>
      <c r="K307" s="24" t="s">
        <v>2512</v>
      </c>
      <c r="L307" s="27"/>
    </row>
    <row r="308">
      <c r="A308" s="73" t="s">
        <v>5573</v>
      </c>
      <c r="B308" s="24" t="s">
        <v>2518</v>
      </c>
      <c r="C308" s="21" t="s">
        <v>2549</v>
      </c>
      <c r="D308" s="21" t="s">
        <v>2549</v>
      </c>
      <c r="E308" s="21">
        <v>0.07</v>
      </c>
      <c r="F308" s="21">
        <v>0.08</v>
      </c>
      <c r="G308" s="21">
        <v>0.09999999</v>
      </c>
      <c r="H308" s="21"/>
      <c r="I308" s="27"/>
      <c r="J308" s="23"/>
      <c r="K308" s="24" t="s">
        <v>2512</v>
      </c>
      <c r="L308" s="27"/>
    </row>
    <row r="309">
      <c r="A309" s="73" t="s">
        <v>5574</v>
      </c>
      <c r="B309" s="24" t="s">
        <v>2518</v>
      </c>
      <c r="C309" s="21" t="s">
        <v>2531</v>
      </c>
      <c r="D309" s="21" t="s">
        <v>2531</v>
      </c>
      <c r="E309" s="21">
        <v>0.02</v>
      </c>
      <c r="F309" s="21">
        <v>0.08</v>
      </c>
      <c r="G309" s="21">
        <v>0.09999999</v>
      </c>
      <c r="H309" s="21"/>
      <c r="I309" s="27"/>
      <c r="J309" s="23"/>
      <c r="K309" s="24" t="s">
        <v>2512</v>
      </c>
      <c r="L309" s="27"/>
    </row>
    <row r="310">
      <c r="A310" s="73" t="s">
        <v>5575</v>
      </c>
      <c r="B310" s="24" t="s">
        <v>2518</v>
      </c>
      <c r="C310" s="21" t="s">
        <v>2525</v>
      </c>
      <c r="D310" s="21" t="s">
        <v>2525</v>
      </c>
      <c r="E310" s="21">
        <v>0.02</v>
      </c>
      <c r="F310" s="21">
        <v>0.08</v>
      </c>
      <c r="G310" s="21">
        <v>0.09999999</v>
      </c>
      <c r="H310" s="21"/>
      <c r="I310" s="27"/>
      <c r="J310" s="23"/>
      <c r="K310" s="24" t="s">
        <v>2512</v>
      </c>
      <c r="L310" s="27"/>
    </row>
    <row r="311">
      <c r="A311" s="73" t="s">
        <v>5576</v>
      </c>
      <c r="B311" s="24" t="s">
        <v>2625</v>
      </c>
      <c r="C311" s="21" t="s">
        <v>2623</v>
      </c>
      <c r="D311" s="21" t="s">
        <v>2623</v>
      </c>
      <c r="E311" s="21">
        <v>0.02</v>
      </c>
      <c r="F311" s="21">
        <v>0.138</v>
      </c>
      <c r="G311" s="21">
        <v>0.022</v>
      </c>
      <c r="H311" s="21"/>
      <c r="I311" s="27"/>
      <c r="J311" s="23"/>
      <c r="K311" s="24" t="s">
        <v>2606</v>
      </c>
      <c r="L311" s="27"/>
    </row>
    <row r="312">
      <c r="A312" s="73" t="s">
        <v>5577</v>
      </c>
      <c r="B312" s="24" t="s">
        <v>2611</v>
      </c>
      <c r="C312" s="21" t="s">
        <v>2637</v>
      </c>
      <c r="D312" s="21" t="s">
        <v>2637</v>
      </c>
      <c r="E312" s="21">
        <v>0.01</v>
      </c>
      <c r="F312" s="21">
        <v>0.09999999</v>
      </c>
      <c r="G312" s="21">
        <v>0.05</v>
      </c>
      <c r="H312" s="21"/>
      <c r="I312" s="27"/>
      <c r="J312" s="23"/>
      <c r="K312" s="24" t="s">
        <v>2606</v>
      </c>
      <c r="L312" s="27"/>
    </row>
    <row r="313">
      <c r="A313" s="73" t="s">
        <v>5578</v>
      </c>
      <c r="B313" s="24" t="s">
        <v>2611</v>
      </c>
      <c r="C313" s="21" t="s">
        <v>2631</v>
      </c>
      <c r="D313" s="21" t="s">
        <v>2631</v>
      </c>
      <c r="E313" s="21">
        <v>0.01</v>
      </c>
      <c r="F313" s="21">
        <v>0.09999999</v>
      </c>
      <c r="G313" s="21">
        <v>0.05</v>
      </c>
      <c r="H313" s="21"/>
      <c r="I313" s="27"/>
      <c r="J313" s="23"/>
      <c r="K313" s="24" t="s">
        <v>2606</v>
      </c>
      <c r="L313" s="27"/>
    </row>
    <row r="314">
      <c r="A314" s="73" t="s">
        <v>5579</v>
      </c>
      <c r="B314" s="24" t="s">
        <v>2611</v>
      </c>
      <c r="C314" s="21" t="s">
        <v>2617</v>
      </c>
      <c r="D314" s="21" t="s">
        <v>2617</v>
      </c>
      <c r="E314" s="21">
        <v>0.02</v>
      </c>
      <c r="F314" s="21">
        <v>0.138</v>
      </c>
      <c r="G314" s="21">
        <v>0.022</v>
      </c>
      <c r="H314" s="21"/>
      <c r="I314" s="27"/>
      <c r="J314" s="23"/>
      <c r="K314" s="24" t="s">
        <v>2606</v>
      </c>
      <c r="L314" s="27"/>
    </row>
    <row r="315">
      <c r="A315" s="73" t="s">
        <v>5580</v>
      </c>
      <c r="B315" s="24" t="s">
        <v>2611</v>
      </c>
      <c r="C315" s="21" t="s">
        <v>2609</v>
      </c>
      <c r="D315" s="21" t="s">
        <v>2609</v>
      </c>
      <c r="E315" s="21">
        <v>0.02</v>
      </c>
      <c r="F315" s="21">
        <v>0.138</v>
      </c>
      <c r="G315" s="21">
        <v>0.022</v>
      </c>
      <c r="H315" s="21"/>
      <c r="I315" s="27"/>
      <c r="J315" s="23"/>
      <c r="K315" s="24" t="s">
        <v>2606</v>
      </c>
      <c r="L315" s="27"/>
    </row>
    <row r="316">
      <c r="A316" s="73" t="s">
        <v>5581</v>
      </c>
      <c r="B316" s="24" t="s">
        <v>501</v>
      </c>
      <c r="C316" s="21" t="s">
        <v>2601</v>
      </c>
      <c r="D316" s="21" t="s">
        <v>2601</v>
      </c>
      <c r="E316" s="21">
        <v>0.02</v>
      </c>
      <c r="F316" s="21">
        <v>0.14</v>
      </c>
      <c r="G316" s="21">
        <v>0.037</v>
      </c>
      <c r="H316" s="21"/>
      <c r="I316" s="27"/>
      <c r="J316" s="23"/>
      <c r="K316" s="24" t="s">
        <v>2598</v>
      </c>
      <c r="L316" s="27"/>
    </row>
    <row r="317">
      <c r="A317" s="73" t="s">
        <v>5582</v>
      </c>
      <c r="B317" s="24" t="s">
        <v>2364</v>
      </c>
      <c r="C317" s="21" t="s">
        <v>2645</v>
      </c>
      <c r="D317" s="21" t="s">
        <v>2645</v>
      </c>
      <c r="E317" s="21">
        <v>0.07</v>
      </c>
      <c r="F317" s="21">
        <v>0.09</v>
      </c>
      <c r="G317" s="21">
        <v>0.16</v>
      </c>
      <c r="H317" s="21"/>
      <c r="I317" s="27"/>
      <c r="J317" s="23"/>
      <c r="K317" s="24" t="s">
        <v>2642</v>
      </c>
      <c r="L317" s="27"/>
    </row>
    <row r="318">
      <c r="A318" s="73" t="s">
        <v>5583</v>
      </c>
      <c r="B318" s="24" t="s">
        <v>2364</v>
      </c>
      <c r="C318" s="21" t="s">
        <v>2652</v>
      </c>
      <c r="D318" s="21" t="s">
        <v>2652</v>
      </c>
      <c r="E318" s="21">
        <v>0.05</v>
      </c>
      <c r="F318" s="21">
        <v>0.28</v>
      </c>
      <c r="G318" s="21">
        <v>0.08</v>
      </c>
      <c r="H318" s="21"/>
      <c r="I318" s="27"/>
      <c r="J318" s="23"/>
      <c r="K318" s="24" t="s">
        <v>2642</v>
      </c>
      <c r="L318" s="27"/>
    </row>
    <row r="319">
      <c r="A319" s="73" t="s">
        <v>5584</v>
      </c>
      <c r="B319" s="24" t="s">
        <v>501</v>
      </c>
      <c r="C319" s="21" t="s">
        <v>2557</v>
      </c>
      <c r="D319" s="21" t="s">
        <v>2557</v>
      </c>
      <c r="E319" s="21">
        <v>0.02</v>
      </c>
      <c r="F319" s="21">
        <v>0.11</v>
      </c>
      <c r="G319" s="21">
        <v>0.032</v>
      </c>
      <c r="H319" s="21"/>
      <c r="I319" s="27"/>
      <c r="J319" s="23"/>
      <c r="K319" s="24" t="s">
        <v>2554</v>
      </c>
      <c r="L319" s="27"/>
    </row>
    <row r="320">
      <c r="A320" s="73" t="s">
        <v>5585</v>
      </c>
      <c r="B320" s="24" t="s">
        <v>501</v>
      </c>
      <c r="C320" s="21" t="s">
        <v>3153</v>
      </c>
      <c r="D320" s="21" t="s">
        <v>3153</v>
      </c>
      <c r="E320" s="21">
        <v>0.02</v>
      </c>
      <c r="F320" s="21">
        <v>0.11</v>
      </c>
      <c r="G320" s="21">
        <v>0.03</v>
      </c>
      <c r="H320" s="21"/>
      <c r="I320" s="27"/>
      <c r="J320" s="23"/>
      <c r="K320" s="24" t="s">
        <v>3150</v>
      </c>
      <c r="L320" s="27"/>
    </row>
    <row r="321">
      <c r="A321" s="73" t="s">
        <v>5586</v>
      </c>
      <c r="B321" s="24" t="s">
        <v>137</v>
      </c>
      <c r="C321" s="21" t="s">
        <v>3053</v>
      </c>
      <c r="D321" s="21" t="s">
        <v>3053</v>
      </c>
      <c r="E321" s="21">
        <v>0.065</v>
      </c>
      <c r="F321" s="21">
        <v>0.065</v>
      </c>
      <c r="G321" s="21">
        <v>0.23</v>
      </c>
      <c r="H321" s="21"/>
      <c r="I321" s="27"/>
      <c r="J321" s="23"/>
      <c r="K321" s="24" t="s">
        <v>3032</v>
      </c>
      <c r="L321" s="27"/>
    </row>
    <row r="322">
      <c r="A322" s="73" t="s">
        <v>5587</v>
      </c>
      <c r="B322" s="24" t="s">
        <v>137</v>
      </c>
      <c r="C322" s="21" t="s">
        <v>3047</v>
      </c>
      <c r="D322" s="21" t="s">
        <v>3047</v>
      </c>
      <c r="E322" s="21">
        <v>0.068</v>
      </c>
      <c r="F322" s="21">
        <v>0.068</v>
      </c>
      <c r="G322" s="21">
        <v>0.2</v>
      </c>
      <c r="H322" s="21"/>
      <c r="I322" s="27"/>
      <c r="J322" s="23"/>
      <c r="K322" s="24" t="s">
        <v>3032</v>
      </c>
      <c r="L322" s="27"/>
    </row>
    <row r="323">
      <c r="A323" s="73" t="s">
        <v>5588</v>
      </c>
      <c r="B323" s="24" t="s">
        <v>137</v>
      </c>
      <c r="C323" s="21" t="s">
        <v>3041</v>
      </c>
      <c r="D323" s="21" t="s">
        <v>3041</v>
      </c>
      <c r="E323" s="21">
        <v>0.085</v>
      </c>
      <c r="F323" s="21">
        <v>0.087</v>
      </c>
      <c r="G323" s="21">
        <v>0.34</v>
      </c>
      <c r="H323" s="21"/>
      <c r="I323" s="27"/>
      <c r="J323" s="23"/>
      <c r="K323" s="24" t="s">
        <v>3032</v>
      </c>
      <c r="L323" s="27"/>
    </row>
    <row r="324">
      <c r="A324" s="73" t="s">
        <v>5589</v>
      </c>
      <c r="B324" s="24" t="s">
        <v>137</v>
      </c>
      <c r="C324" s="21" t="s">
        <v>3035</v>
      </c>
      <c r="D324" s="21" t="s">
        <v>3035</v>
      </c>
      <c r="E324" s="21">
        <v>0.0868</v>
      </c>
      <c r="F324" s="21">
        <v>0.0868</v>
      </c>
      <c r="G324" s="21">
        <v>0.244</v>
      </c>
      <c r="H324" s="21"/>
      <c r="I324" s="27"/>
      <c r="J324" s="23"/>
      <c r="K324" s="24" t="s">
        <v>3032</v>
      </c>
      <c r="L324" s="27"/>
    </row>
    <row r="325">
      <c r="A325" s="73" t="s">
        <v>5590</v>
      </c>
      <c r="B325" s="24" t="s">
        <v>3064</v>
      </c>
      <c r="C325" s="21" t="s">
        <v>3070</v>
      </c>
      <c r="D325" s="21" t="s">
        <v>3070</v>
      </c>
      <c r="E325" s="21">
        <v>0.068</v>
      </c>
      <c r="F325" s="21">
        <v>0.068</v>
      </c>
      <c r="G325" s="21">
        <v>0.2</v>
      </c>
      <c r="H325" s="21"/>
      <c r="I325" s="27"/>
      <c r="J325" s="23"/>
      <c r="K325" s="24" t="s">
        <v>3058</v>
      </c>
      <c r="L325" s="27"/>
    </row>
    <row r="326">
      <c r="A326" s="73" t="s">
        <v>5591</v>
      </c>
      <c r="B326" s="24" t="s">
        <v>3064</v>
      </c>
      <c r="C326" s="21" t="s">
        <v>3062</v>
      </c>
      <c r="D326" s="21" t="s">
        <v>3062</v>
      </c>
      <c r="E326" s="21">
        <v>0.068</v>
      </c>
      <c r="F326" s="21">
        <v>0.068</v>
      </c>
      <c r="G326" s="21">
        <v>0.2</v>
      </c>
      <c r="H326" s="21"/>
      <c r="I326" s="27"/>
      <c r="J326" s="23"/>
      <c r="K326" s="24" t="s">
        <v>3058</v>
      </c>
      <c r="L326" s="27"/>
    </row>
    <row r="327">
      <c r="A327" s="73" t="s">
        <v>5592</v>
      </c>
      <c r="B327" s="24" t="s">
        <v>3064</v>
      </c>
      <c r="C327" s="21" t="s">
        <v>3108</v>
      </c>
      <c r="D327" s="21" t="s">
        <v>3108</v>
      </c>
      <c r="E327" s="21">
        <v>0.068</v>
      </c>
      <c r="F327" s="21">
        <v>0.068</v>
      </c>
      <c r="G327" s="21">
        <v>0.2</v>
      </c>
      <c r="H327" s="21"/>
      <c r="I327" s="27"/>
      <c r="J327" s="23"/>
      <c r="K327" s="24" t="s">
        <v>3058</v>
      </c>
      <c r="L327" s="27"/>
    </row>
    <row r="328">
      <c r="A328" s="73" t="s">
        <v>5593</v>
      </c>
      <c r="B328" s="24" t="s">
        <v>3064</v>
      </c>
      <c r="C328" s="21" t="s">
        <v>3102</v>
      </c>
      <c r="D328" s="21" t="s">
        <v>3102</v>
      </c>
      <c r="E328" s="21">
        <v>0.068</v>
      </c>
      <c r="F328" s="21">
        <v>0.068</v>
      </c>
      <c r="G328" s="21">
        <v>0.2</v>
      </c>
      <c r="H328" s="21"/>
      <c r="I328" s="27"/>
      <c r="J328" s="23"/>
      <c r="K328" s="24" t="s">
        <v>3058</v>
      </c>
      <c r="L328" s="27"/>
    </row>
    <row r="329">
      <c r="A329" s="73" t="s">
        <v>5594</v>
      </c>
      <c r="B329" s="24" t="s">
        <v>3064</v>
      </c>
      <c r="C329" s="21" t="s">
        <v>3095</v>
      </c>
      <c r="D329" s="21" t="s">
        <v>3095</v>
      </c>
      <c r="E329" s="21">
        <v>0.068</v>
      </c>
      <c r="F329" s="21">
        <v>0.068</v>
      </c>
      <c r="G329" s="21">
        <v>0.2</v>
      </c>
      <c r="H329" s="21"/>
      <c r="I329" s="27"/>
      <c r="J329" s="23"/>
      <c r="K329" s="24" t="s">
        <v>3058</v>
      </c>
      <c r="L329" s="27"/>
    </row>
    <row r="330">
      <c r="A330" s="73" t="s">
        <v>5595</v>
      </c>
      <c r="B330" s="24" t="s">
        <v>3064</v>
      </c>
      <c r="C330" s="21" t="s">
        <v>3089</v>
      </c>
      <c r="D330" s="21" t="s">
        <v>3089</v>
      </c>
      <c r="E330" s="21">
        <v>0.095</v>
      </c>
      <c r="F330" s="21">
        <v>0.095</v>
      </c>
      <c r="G330" s="21">
        <v>0.3</v>
      </c>
      <c r="H330" s="21"/>
      <c r="I330" s="27"/>
      <c r="J330" s="23"/>
      <c r="K330" s="24" t="s">
        <v>3058</v>
      </c>
      <c r="L330" s="27"/>
    </row>
    <row r="331">
      <c r="A331" s="73" t="s">
        <v>5596</v>
      </c>
      <c r="B331" s="24" t="s">
        <v>3064</v>
      </c>
      <c r="C331" s="21" t="s">
        <v>3083</v>
      </c>
      <c r="D331" s="21" t="s">
        <v>3083</v>
      </c>
      <c r="E331" s="21">
        <v>0.095</v>
      </c>
      <c r="F331" s="21">
        <v>0.095</v>
      </c>
      <c r="G331" s="21">
        <v>0.3</v>
      </c>
      <c r="H331" s="21"/>
      <c r="I331" s="27"/>
      <c r="J331" s="23"/>
      <c r="K331" s="24" t="s">
        <v>3058</v>
      </c>
      <c r="L331" s="27"/>
    </row>
    <row r="332">
      <c r="A332" s="73" t="s">
        <v>5597</v>
      </c>
      <c r="B332" s="24" t="s">
        <v>3064</v>
      </c>
      <c r="C332" s="21" t="s">
        <v>3076</v>
      </c>
      <c r="D332" s="21" t="s">
        <v>3076</v>
      </c>
      <c r="E332" s="21">
        <v>0.095</v>
      </c>
      <c r="F332" s="21">
        <v>0.095</v>
      </c>
      <c r="G332" s="21">
        <v>0.3</v>
      </c>
      <c r="H332" s="21"/>
      <c r="I332" s="27"/>
      <c r="J332" s="23"/>
      <c r="K332" s="24" t="s">
        <v>3058</v>
      </c>
      <c r="L332" s="27"/>
    </row>
    <row r="333">
      <c r="A333" s="73" t="s">
        <v>5598</v>
      </c>
      <c r="B333" s="24" t="s">
        <v>2364</v>
      </c>
      <c r="C333" s="21" t="s">
        <v>3162</v>
      </c>
      <c r="D333" s="21" t="s">
        <v>3162</v>
      </c>
      <c r="E333" s="21">
        <v>0.045</v>
      </c>
      <c r="F333" s="21">
        <v>0.132</v>
      </c>
      <c r="G333" s="21">
        <v>0.161</v>
      </c>
      <c r="H333" s="21"/>
      <c r="I333" s="27"/>
      <c r="J333" s="23"/>
      <c r="K333" s="24" t="s">
        <v>3159</v>
      </c>
      <c r="L333" s="27"/>
    </row>
    <row r="334">
      <c r="A334" s="73" t="s">
        <v>5599</v>
      </c>
      <c r="B334" s="24" t="s">
        <v>3144</v>
      </c>
      <c r="C334" s="21" t="s">
        <v>3142</v>
      </c>
      <c r="D334" s="21" t="s">
        <v>3142</v>
      </c>
      <c r="E334" s="21">
        <v>0.015</v>
      </c>
      <c r="F334" s="21">
        <v>0.09999999</v>
      </c>
      <c r="G334" s="21">
        <v>0.14</v>
      </c>
      <c r="H334" s="21"/>
      <c r="I334" s="27"/>
      <c r="J334" s="23"/>
      <c r="K334" s="24" t="s">
        <v>3139</v>
      </c>
      <c r="L334" s="27"/>
    </row>
    <row r="335">
      <c r="A335" s="73" t="s">
        <v>5600</v>
      </c>
      <c r="B335" s="24" t="s">
        <v>2931</v>
      </c>
      <c r="C335" s="21" t="s">
        <v>2938</v>
      </c>
      <c r="D335" s="21" t="s">
        <v>2938</v>
      </c>
      <c r="E335" s="21">
        <v>0.02</v>
      </c>
      <c r="F335" s="21">
        <v>0.065</v>
      </c>
      <c r="G335" s="21">
        <v>0.09999999</v>
      </c>
      <c r="H335" s="21"/>
      <c r="I335" s="27"/>
      <c r="J335" s="23"/>
      <c r="K335" s="24" t="s">
        <v>2926</v>
      </c>
      <c r="L335" s="27"/>
    </row>
    <row r="336">
      <c r="A336" s="73" t="s">
        <v>5601</v>
      </c>
      <c r="B336" s="24" t="s">
        <v>2931</v>
      </c>
      <c r="C336" s="21" t="s">
        <v>2963</v>
      </c>
      <c r="D336" s="21" t="s">
        <v>2963</v>
      </c>
      <c r="E336" s="21">
        <v>0.02</v>
      </c>
      <c r="F336" s="21">
        <v>0.065</v>
      </c>
      <c r="G336" s="21">
        <v>0.09999999</v>
      </c>
      <c r="H336" s="21"/>
      <c r="I336" s="27"/>
      <c r="J336" s="23"/>
      <c r="K336" s="24" t="s">
        <v>2926</v>
      </c>
      <c r="L336" s="27"/>
    </row>
    <row r="337">
      <c r="A337" s="73" t="s">
        <v>5602</v>
      </c>
      <c r="B337" s="24" t="s">
        <v>2931</v>
      </c>
      <c r="C337" s="21" t="s">
        <v>2929</v>
      </c>
      <c r="D337" s="21" t="s">
        <v>2929</v>
      </c>
      <c r="E337" s="21">
        <v>0.02</v>
      </c>
      <c r="F337" s="21">
        <v>0.065</v>
      </c>
      <c r="G337" s="21">
        <v>0.09999999</v>
      </c>
      <c r="H337" s="21"/>
      <c r="I337" s="27"/>
      <c r="J337" s="23"/>
      <c r="K337" s="24" t="s">
        <v>2926</v>
      </c>
      <c r="L337" s="27"/>
    </row>
    <row r="338">
      <c r="A338" s="73" t="s">
        <v>5603</v>
      </c>
      <c r="B338" s="24" t="s">
        <v>2931</v>
      </c>
      <c r="C338" s="21" t="s">
        <v>2951</v>
      </c>
      <c r="D338" s="21" t="s">
        <v>2951</v>
      </c>
      <c r="E338" s="21">
        <v>0.017</v>
      </c>
      <c r="F338" s="21">
        <v>0.065</v>
      </c>
      <c r="G338" s="21">
        <v>0.09999999</v>
      </c>
      <c r="H338" s="21"/>
      <c r="I338" s="27"/>
      <c r="J338" s="23"/>
      <c r="K338" s="24" t="s">
        <v>2926</v>
      </c>
      <c r="L338" s="27"/>
    </row>
    <row r="339">
      <c r="A339" s="73" t="s">
        <v>5604</v>
      </c>
      <c r="B339" s="24" t="s">
        <v>2931</v>
      </c>
      <c r="C339" s="21" t="s">
        <v>2944</v>
      </c>
      <c r="D339" s="21" t="s">
        <v>2944</v>
      </c>
      <c r="E339" s="21">
        <v>0.02</v>
      </c>
      <c r="F339" s="21">
        <v>0.065</v>
      </c>
      <c r="G339" s="21">
        <v>0.09999999</v>
      </c>
      <c r="H339" s="21"/>
      <c r="I339" s="27"/>
      <c r="J339" s="23"/>
      <c r="K339" s="24" t="s">
        <v>2926</v>
      </c>
      <c r="L339" s="27"/>
    </row>
    <row r="340">
      <c r="A340" s="73" t="s">
        <v>5605</v>
      </c>
      <c r="B340" s="24" t="s">
        <v>2931</v>
      </c>
      <c r="C340" s="21" t="s">
        <v>2957</v>
      </c>
      <c r="D340" s="21" t="s">
        <v>2957</v>
      </c>
      <c r="E340" s="21">
        <v>0.02</v>
      </c>
      <c r="F340" s="21">
        <v>0.065</v>
      </c>
      <c r="G340" s="21">
        <v>0.09999999</v>
      </c>
      <c r="H340" s="21"/>
      <c r="I340" s="27"/>
      <c r="J340" s="23"/>
      <c r="K340" s="24" t="s">
        <v>2926</v>
      </c>
      <c r="L340" s="27"/>
    </row>
    <row r="341">
      <c r="A341" s="73" t="s">
        <v>5606</v>
      </c>
      <c r="B341" s="24" t="s">
        <v>149</v>
      </c>
      <c r="C341" s="21" t="s">
        <v>3027</v>
      </c>
      <c r="D341" s="21" t="s">
        <v>3027</v>
      </c>
      <c r="E341" s="21">
        <v>0.066</v>
      </c>
      <c r="F341" s="21">
        <v>0.066</v>
      </c>
      <c r="G341" s="21">
        <v>0.215</v>
      </c>
      <c r="H341" s="21"/>
      <c r="I341" s="27"/>
      <c r="J341" s="23"/>
      <c r="K341" s="24" t="s">
        <v>3018</v>
      </c>
      <c r="L341" s="27"/>
    </row>
    <row r="342">
      <c r="A342" s="73" t="s">
        <v>5607</v>
      </c>
      <c r="B342" s="24" t="s">
        <v>149</v>
      </c>
      <c r="C342" s="21" t="s">
        <v>3021</v>
      </c>
      <c r="D342" s="21" t="s">
        <v>3021</v>
      </c>
      <c r="E342" s="21">
        <v>0.08899999</v>
      </c>
      <c r="F342" s="21">
        <v>0.08899999</v>
      </c>
      <c r="G342" s="21">
        <v>0.322</v>
      </c>
      <c r="H342" s="21"/>
      <c r="I342" s="27"/>
      <c r="J342" s="23"/>
      <c r="K342" s="24" t="s">
        <v>3018</v>
      </c>
      <c r="L342" s="27"/>
    </row>
    <row r="343">
      <c r="A343" s="73" t="s">
        <v>5608</v>
      </c>
      <c r="B343" s="24" t="s">
        <v>2973</v>
      </c>
      <c r="C343" s="21" t="s">
        <v>2971</v>
      </c>
      <c r="D343" s="21" t="s">
        <v>2971</v>
      </c>
      <c r="E343" s="21">
        <v>0.065</v>
      </c>
      <c r="F343" s="21">
        <v>0.09</v>
      </c>
      <c r="G343" s="21">
        <v>0.095</v>
      </c>
      <c r="H343" s="21"/>
      <c r="I343" s="27"/>
      <c r="J343" s="23"/>
      <c r="K343" s="24" t="s">
        <v>2968</v>
      </c>
      <c r="L343" s="27"/>
    </row>
    <row r="344">
      <c r="A344" s="73" t="s">
        <v>5609</v>
      </c>
      <c r="B344" s="24" t="s">
        <v>2973</v>
      </c>
      <c r="C344" s="21" t="s">
        <v>2979</v>
      </c>
      <c r="D344" s="21" t="s">
        <v>2979</v>
      </c>
      <c r="E344" s="21">
        <v>0.075</v>
      </c>
      <c r="F344" s="21">
        <v>0.09</v>
      </c>
      <c r="G344" s="21">
        <v>0.095</v>
      </c>
      <c r="H344" s="21"/>
      <c r="I344" s="27"/>
      <c r="J344" s="23"/>
      <c r="K344" s="24" t="s">
        <v>2968</v>
      </c>
      <c r="L344" s="27"/>
    </row>
    <row r="345">
      <c r="A345" s="73" t="s">
        <v>5610</v>
      </c>
      <c r="B345" s="24" t="s">
        <v>2973</v>
      </c>
      <c r="C345" s="21" t="s">
        <v>2985</v>
      </c>
      <c r="D345" s="21" t="s">
        <v>2985</v>
      </c>
      <c r="E345" s="21">
        <v>0.065</v>
      </c>
      <c r="F345" s="21">
        <v>0.09</v>
      </c>
      <c r="G345" s="21">
        <v>0.095</v>
      </c>
      <c r="H345" s="21"/>
      <c r="I345" s="27"/>
      <c r="J345" s="23"/>
      <c r="K345" s="24" t="s">
        <v>2968</v>
      </c>
      <c r="L345" s="27"/>
    </row>
    <row r="346">
      <c r="A346" s="73" t="s">
        <v>5611</v>
      </c>
      <c r="B346" s="24" t="s">
        <v>501</v>
      </c>
      <c r="C346" s="21" t="s">
        <v>3011</v>
      </c>
      <c r="D346" s="21" t="s">
        <v>3011</v>
      </c>
      <c r="E346" s="21">
        <v>0.01</v>
      </c>
      <c r="F346" s="21">
        <v>0.18</v>
      </c>
      <c r="G346" s="21">
        <v>0.205</v>
      </c>
      <c r="H346" s="21"/>
      <c r="I346" s="27"/>
      <c r="J346" s="23"/>
      <c r="K346" s="24" t="s">
        <v>3008</v>
      </c>
      <c r="L346" s="27"/>
    </row>
    <row r="347">
      <c r="A347" s="73" t="s">
        <v>5612</v>
      </c>
      <c r="B347" s="24" t="s">
        <v>3118</v>
      </c>
      <c r="C347" s="21" t="s">
        <v>3123</v>
      </c>
      <c r="D347" s="21" t="s">
        <v>3123</v>
      </c>
      <c r="E347" s="21">
        <v>0.05</v>
      </c>
      <c r="F347" s="21">
        <v>0.115</v>
      </c>
      <c r="G347" s="21">
        <v>0.16</v>
      </c>
      <c r="H347" s="21"/>
      <c r="I347" s="27"/>
      <c r="J347" s="23"/>
      <c r="K347" s="24" t="s">
        <v>3113</v>
      </c>
      <c r="L347" s="27"/>
    </row>
    <row r="348">
      <c r="A348" s="73" t="s">
        <v>5613</v>
      </c>
      <c r="B348" s="24" t="s">
        <v>3118</v>
      </c>
      <c r="C348" s="21" t="s">
        <v>3116</v>
      </c>
      <c r="D348" s="21" t="s">
        <v>3116</v>
      </c>
      <c r="E348" s="21">
        <v>0.06</v>
      </c>
      <c r="F348" s="21">
        <v>0.115</v>
      </c>
      <c r="G348" s="21">
        <v>0.16</v>
      </c>
      <c r="H348" s="21"/>
      <c r="I348" s="27"/>
      <c r="J348" s="23"/>
      <c r="K348" s="24" t="s">
        <v>3113</v>
      </c>
      <c r="L348" s="27"/>
    </row>
    <row r="349">
      <c r="A349" s="73" t="s">
        <v>5614</v>
      </c>
      <c r="B349" s="24" t="s">
        <v>2996</v>
      </c>
      <c r="C349" s="21" t="s">
        <v>2994</v>
      </c>
      <c r="D349" s="21" t="s">
        <v>2994</v>
      </c>
      <c r="E349" s="21">
        <v>0.02</v>
      </c>
      <c r="F349" s="21">
        <v>0.06</v>
      </c>
      <c r="G349" s="21">
        <v>0.225</v>
      </c>
      <c r="H349" s="21"/>
      <c r="I349" s="27"/>
      <c r="J349" s="23"/>
      <c r="K349" s="24" t="s">
        <v>2991</v>
      </c>
      <c r="L349" s="27"/>
    </row>
    <row r="350">
      <c r="A350" s="73" t="s">
        <v>5615</v>
      </c>
      <c r="B350" s="24" t="s">
        <v>2996</v>
      </c>
      <c r="C350" s="21" t="s">
        <v>3002</v>
      </c>
      <c r="D350" s="21" t="s">
        <v>3002</v>
      </c>
      <c r="E350" s="21">
        <v>0.093</v>
      </c>
      <c r="F350" s="21">
        <v>0.093</v>
      </c>
      <c r="G350" s="21">
        <v>0.33</v>
      </c>
      <c r="H350" s="21"/>
      <c r="I350" s="27"/>
      <c r="J350" s="23"/>
      <c r="K350" s="24" t="s">
        <v>2991</v>
      </c>
      <c r="L350" s="27"/>
    </row>
    <row r="351">
      <c r="A351" s="73" t="s">
        <v>5616</v>
      </c>
      <c r="B351" s="24" t="s">
        <v>718</v>
      </c>
      <c r="C351" s="21" t="s">
        <v>4043</v>
      </c>
      <c r="D351" s="21" t="s">
        <v>4043</v>
      </c>
      <c r="E351" s="21">
        <v>0.065</v>
      </c>
      <c r="F351" s="21">
        <v>0.065</v>
      </c>
      <c r="G351" s="21">
        <v>0.21</v>
      </c>
      <c r="H351" s="21"/>
      <c r="I351" s="27"/>
      <c r="J351" s="23"/>
      <c r="K351" s="24" t="s">
        <v>4041</v>
      </c>
      <c r="L351" s="27"/>
    </row>
    <row r="352">
      <c r="A352" s="73" t="s">
        <v>5617</v>
      </c>
      <c r="B352" s="24" t="s">
        <v>3064</v>
      </c>
      <c r="C352" s="21" t="s">
        <v>4102</v>
      </c>
      <c r="D352" s="21" t="s">
        <v>4102</v>
      </c>
      <c r="E352" s="21">
        <v>0.053</v>
      </c>
      <c r="F352" s="21">
        <v>0.053</v>
      </c>
      <c r="G352" s="21">
        <v>0.193</v>
      </c>
      <c r="H352" s="21"/>
      <c r="I352" s="27"/>
      <c r="J352" s="23"/>
      <c r="K352" s="24" t="s">
        <v>4057</v>
      </c>
      <c r="L352" s="27"/>
    </row>
    <row r="353">
      <c r="A353" s="73" t="s">
        <v>5618</v>
      </c>
      <c r="B353" s="24" t="s">
        <v>3064</v>
      </c>
      <c r="C353" s="21" t="s">
        <v>4060</v>
      </c>
      <c r="D353" s="21" t="s">
        <v>4060</v>
      </c>
      <c r="E353" s="21">
        <v>0.053</v>
      </c>
      <c r="F353" s="21">
        <v>0.053</v>
      </c>
      <c r="G353" s="21">
        <v>0.193</v>
      </c>
      <c r="H353" s="21"/>
      <c r="I353" s="27"/>
      <c r="J353" s="23"/>
      <c r="K353" s="24" t="s">
        <v>4057</v>
      </c>
      <c r="L353" s="27"/>
    </row>
    <row r="354">
      <c r="A354" s="73" t="s">
        <v>5619</v>
      </c>
      <c r="B354" s="24" t="s">
        <v>3064</v>
      </c>
      <c r="C354" s="21" t="s">
        <v>4078</v>
      </c>
      <c r="D354" s="21" t="s">
        <v>4078</v>
      </c>
      <c r="E354" s="21">
        <v>0.053</v>
      </c>
      <c r="F354" s="21">
        <v>0.053</v>
      </c>
      <c r="G354" s="21">
        <v>0.193</v>
      </c>
      <c r="H354" s="21"/>
      <c r="I354" s="27"/>
      <c r="J354" s="23"/>
      <c r="K354" s="24" t="s">
        <v>4057</v>
      </c>
      <c r="L354" s="27"/>
    </row>
    <row r="355">
      <c r="A355" s="73" t="s">
        <v>5620</v>
      </c>
      <c r="B355" s="24" t="s">
        <v>3064</v>
      </c>
      <c r="C355" s="21" t="s">
        <v>4084</v>
      </c>
      <c r="D355" s="21" t="s">
        <v>4084</v>
      </c>
      <c r="E355" s="21">
        <v>0.053</v>
      </c>
      <c r="F355" s="21">
        <v>0.053</v>
      </c>
      <c r="G355" s="21">
        <v>0.193</v>
      </c>
      <c r="H355" s="21"/>
      <c r="I355" s="27"/>
      <c r="J355" s="23"/>
      <c r="K355" s="24" t="s">
        <v>4057</v>
      </c>
      <c r="L355" s="27"/>
    </row>
    <row r="356">
      <c r="A356" s="73" t="s">
        <v>5621</v>
      </c>
      <c r="B356" s="24" t="s">
        <v>3064</v>
      </c>
      <c r="C356" s="21" t="s">
        <v>4090</v>
      </c>
      <c r="D356" s="21" t="s">
        <v>4090</v>
      </c>
      <c r="E356" s="21">
        <v>0.08</v>
      </c>
      <c r="F356" s="21">
        <v>0.08</v>
      </c>
      <c r="G356" s="21">
        <v>0.295</v>
      </c>
      <c r="H356" s="21"/>
      <c r="I356" s="27"/>
      <c r="J356" s="23"/>
      <c r="K356" s="24" t="s">
        <v>4057</v>
      </c>
      <c r="L356" s="27"/>
    </row>
    <row r="357">
      <c r="A357" s="73" t="s">
        <v>5622</v>
      </c>
      <c r="B357" s="24" t="s">
        <v>3064</v>
      </c>
      <c r="C357" s="21" t="s">
        <v>4072</v>
      </c>
      <c r="D357" s="21" t="s">
        <v>4072</v>
      </c>
      <c r="E357" s="21">
        <v>0.08</v>
      </c>
      <c r="F357" s="21">
        <v>0.08</v>
      </c>
      <c r="G357" s="21">
        <v>0.295</v>
      </c>
      <c r="H357" s="21"/>
      <c r="I357" s="27"/>
      <c r="J357" s="23"/>
      <c r="K357" s="24" t="s">
        <v>4057</v>
      </c>
      <c r="L357" s="27"/>
    </row>
    <row r="358">
      <c r="A358" s="73" t="s">
        <v>5623</v>
      </c>
      <c r="B358" s="24" t="s">
        <v>3064</v>
      </c>
      <c r="C358" s="21" t="s">
        <v>4066</v>
      </c>
      <c r="D358" s="21" t="s">
        <v>4066</v>
      </c>
      <c r="E358" s="21">
        <v>0.08</v>
      </c>
      <c r="F358" s="21">
        <v>0.08</v>
      </c>
      <c r="G358" s="21">
        <v>0.295</v>
      </c>
      <c r="H358" s="21"/>
      <c r="I358" s="27"/>
      <c r="J358" s="23"/>
      <c r="K358" s="24" t="s">
        <v>4057</v>
      </c>
      <c r="L358" s="27"/>
    </row>
    <row r="359">
      <c r="A359" s="73" t="s">
        <v>5624</v>
      </c>
      <c r="B359" s="24" t="s">
        <v>3064</v>
      </c>
      <c r="C359" s="21" t="s">
        <v>4096</v>
      </c>
      <c r="D359" s="21" t="s">
        <v>4096</v>
      </c>
      <c r="E359" s="21">
        <v>0.08</v>
      </c>
      <c r="F359" s="21">
        <v>0.08</v>
      </c>
      <c r="G359" s="21">
        <v>0.295</v>
      </c>
      <c r="H359" s="21"/>
      <c r="I359" s="27"/>
      <c r="J359" s="23"/>
      <c r="K359" s="24" t="s">
        <v>4057</v>
      </c>
      <c r="L359" s="27"/>
    </row>
    <row r="360">
      <c r="A360" s="73" t="s">
        <v>5625</v>
      </c>
      <c r="B360" s="24" t="s">
        <v>1794</v>
      </c>
      <c r="C360" s="21" t="s">
        <v>4016</v>
      </c>
      <c r="D360" s="21" t="s">
        <v>4016</v>
      </c>
      <c r="E360" s="21">
        <v>0.24</v>
      </c>
      <c r="F360" s="21">
        <v>0.06</v>
      </c>
      <c r="G360" s="21">
        <v>0.075</v>
      </c>
      <c r="H360" s="21"/>
      <c r="I360" s="27"/>
      <c r="J360" s="23"/>
      <c r="K360" s="24" t="s">
        <v>4013</v>
      </c>
      <c r="L360" s="27"/>
    </row>
    <row r="361">
      <c r="A361" s="73" t="s">
        <v>5626</v>
      </c>
      <c r="B361" s="24" t="s">
        <v>1794</v>
      </c>
      <c r="C361" s="21" t="s">
        <v>4022</v>
      </c>
      <c r="D361" s="21" t="s">
        <v>4022</v>
      </c>
      <c r="E361" s="21">
        <v>0.24</v>
      </c>
      <c r="F361" s="21">
        <v>0.06</v>
      </c>
      <c r="G361" s="21">
        <v>0.075</v>
      </c>
      <c r="H361" s="21"/>
      <c r="I361" s="27"/>
      <c r="J361" s="23"/>
      <c r="K361" s="24" t="s">
        <v>4013</v>
      </c>
      <c r="L361" s="27"/>
    </row>
    <row r="362">
      <c r="A362" s="73" t="s">
        <v>5627</v>
      </c>
      <c r="B362" s="24" t="s">
        <v>4261</v>
      </c>
      <c r="C362" s="21" t="s">
        <v>4268</v>
      </c>
      <c r="D362" s="21" t="s">
        <v>4268</v>
      </c>
      <c r="E362" s="21">
        <v>0.065</v>
      </c>
      <c r="F362" s="21">
        <v>0.065</v>
      </c>
      <c r="G362" s="21">
        <v>0.24</v>
      </c>
      <c r="H362" s="21"/>
      <c r="I362" s="27"/>
      <c r="J362" s="23"/>
      <c r="K362" s="24" t="s">
        <v>4256</v>
      </c>
      <c r="L362" s="27"/>
    </row>
    <row r="363">
      <c r="A363" s="73" t="s">
        <v>5628</v>
      </c>
      <c r="B363" s="24" t="s">
        <v>4261</v>
      </c>
      <c r="C363" s="21" t="s">
        <v>4259</v>
      </c>
      <c r="D363" s="21" t="s">
        <v>4259</v>
      </c>
      <c r="E363" s="21">
        <v>0.08</v>
      </c>
      <c r="F363" s="21">
        <v>0.08</v>
      </c>
      <c r="G363" s="21">
        <v>0.33</v>
      </c>
      <c r="H363" s="21"/>
      <c r="I363" s="27"/>
      <c r="J363" s="23"/>
      <c r="K363" s="24" t="s">
        <v>4256</v>
      </c>
      <c r="L363" s="27"/>
    </row>
    <row r="364">
      <c r="A364" s="73" t="s">
        <v>5629</v>
      </c>
      <c r="B364" s="24" t="s">
        <v>4531</v>
      </c>
      <c r="C364" s="21" t="s">
        <v>4529</v>
      </c>
      <c r="D364" s="21" t="s">
        <v>4529</v>
      </c>
      <c r="E364" s="21">
        <v>0.057</v>
      </c>
      <c r="F364" s="21">
        <v>0.09999999</v>
      </c>
      <c r="G364" s="21">
        <v>0.16</v>
      </c>
      <c r="H364" s="21"/>
      <c r="I364" s="27"/>
      <c r="J364" s="23"/>
      <c r="K364" s="24" t="s">
        <v>4526</v>
      </c>
      <c r="L364" s="27"/>
    </row>
    <row r="365">
      <c r="A365" s="73" t="s">
        <v>5630</v>
      </c>
      <c r="B365" s="24" t="s">
        <v>365</v>
      </c>
      <c r="C365" s="21" t="s">
        <v>4384</v>
      </c>
      <c r="D365" s="21" t="s">
        <v>4384</v>
      </c>
      <c r="E365" s="21">
        <v>0.12</v>
      </c>
      <c r="F365" s="21">
        <v>0.06</v>
      </c>
      <c r="G365" s="21">
        <v>0.235</v>
      </c>
      <c r="H365" s="21"/>
      <c r="I365" s="27"/>
      <c r="J365" s="23"/>
      <c r="K365" s="24" t="s">
        <v>4381</v>
      </c>
      <c r="L365" s="27"/>
    </row>
    <row r="366">
      <c r="A366" s="73" t="s">
        <v>5631</v>
      </c>
      <c r="B366" s="24" t="s">
        <v>512</v>
      </c>
      <c r="C366" s="21" t="s">
        <v>4392</v>
      </c>
      <c r="D366" s="21" t="s">
        <v>4392</v>
      </c>
      <c r="E366" s="21">
        <v>0.055</v>
      </c>
      <c r="F366" s="21">
        <v>0.055</v>
      </c>
      <c r="G366" s="21">
        <v>0.239</v>
      </c>
      <c r="H366" s="21"/>
      <c r="I366" s="27"/>
      <c r="J366" s="23"/>
      <c r="K366" s="24" t="s">
        <v>4389</v>
      </c>
      <c r="L366" s="27"/>
    </row>
    <row r="367">
      <c r="A367" s="73" t="s">
        <v>5632</v>
      </c>
      <c r="B367" s="24" t="s">
        <v>109</v>
      </c>
      <c r="C367" s="21" t="s">
        <v>5207</v>
      </c>
      <c r="D367" s="21" t="s">
        <v>5207</v>
      </c>
      <c r="E367" s="21">
        <v>0.08</v>
      </c>
      <c r="F367" s="21">
        <v>0.09</v>
      </c>
      <c r="G367" s="21">
        <v>0.23</v>
      </c>
      <c r="H367" s="21"/>
      <c r="I367" s="27"/>
      <c r="J367" s="23"/>
      <c r="K367" s="24" t="s">
        <v>4486</v>
      </c>
      <c r="L367" s="27"/>
    </row>
    <row r="368">
      <c r="A368" s="73" t="s">
        <v>5633</v>
      </c>
      <c r="B368" s="24" t="s">
        <v>109</v>
      </c>
      <c r="C368" s="21" t="s">
        <v>5208</v>
      </c>
      <c r="D368" s="21" t="s">
        <v>5208</v>
      </c>
      <c r="E368" s="21">
        <v>0.08</v>
      </c>
      <c r="F368" s="21">
        <v>0.09</v>
      </c>
      <c r="G368" s="21">
        <v>0.23</v>
      </c>
      <c r="H368" s="21"/>
      <c r="I368" s="27"/>
      <c r="J368" s="23"/>
      <c r="K368" s="24" t="s">
        <v>4486</v>
      </c>
      <c r="L368" s="27"/>
    </row>
    <row r="369">
      <c r="A369" s="73" t="s">
        <v>5634</v>
      </c>
      <c r="B369" s="24" t="s">
        <v>109</v>
      </c>
      <c r="C369" s="21" t="s">
        <v>5209</v>
      </c>
      <c r="D369" s="21" t="s">
        <v>5209</v>
      </c>
      <c r="E369" s="21">
        <v>0.08</v>
      </c>
      <c r="F369" s="21">
        <v>0.09</v>
      </c>
      <c r="G369" s="21">
        <v>0.23</v>
      </c>
      <c r="H369" s="21"/>
      <c r="I369" s="27"/>
      <c r="J369" s="23"/>
      <c r="K369" s="24" t="s">
        <v>4486</v>
      </c>
      <c r="L369" s="27"/>
    </row>
    <row r="370">
      <c r="A370" s="73" t="s">
        <v>5635</v>
      </c>
      <c r="B370" s="24" t="s">
        <v>365</v>
      </c>
      <c r="C370" s="21" t="s">
        <v>4506</v>
      </c>
      <c r="D370" s="21" t="s">
        <v>4506</v>
      </c>
      <c r="E370" s="21">
        <v>0.06</v>
      </c>
      <c r="F370" s="21">
        <v>0.06</v>
      </c>
      <c r="G370" s="21">
        <v>0.23</v>
      </c>
      <c r="H370" s="21"/>
      <c r="I370" s="27"/>
      <c r="J370" s="23"/>
      <c r="K370" s="24" t="s">
        <v>4503</v>
      </c>
      <c r="L370" s="27"/>
    </row>
    <row r="371">
      <c r="A371" s="73" t="s">
        <v>5636</v>
      </c>
      <c r="B371" s="24" t="s">
        <v>365</v>
      </c>
      <c r="C371" s="21" t="s">
        <v>4512</v>
      </c>
      <c r="D371" s="21" t="s">
        <v>4512</v>
      </c>
      <c r="E371" s="21">
        <v>0.065</v>
      </c>
      <c r="F371" s="21">
        <v>0.065</v>
      </c>
      <c r="G371" s="21">
        <v>0.15</v>
      </c>
      <c r="H371" s="21"/>
      <c r="I371" s="27"/>
      <c r="J371" s="23"/>
      <c r="K371" s="24" t="s">
        <v>4503</v>
      </c>
      <c r="L371" s="27"/>
    </row>
    <row r="372">
      <c r="A372" s="73" t="s">
        <v>5637</v>
      </c>
      <c r="B372" s="24" t="s">
        <v>512</v>
      </c>
      <c r="C372" s="21" t="s">
        <v>4520</v>
      </c>
      <c r="D372" s="21" t="s">
        <v>4520</v>
      </c>
      <c r="E372" s="21">
        <v>0.055</v>
      </c>
      <c r="F372" s="21">
        <v>0.055</v>
      </c>
      <c r="G372" s="21">
        <v>0.239</v>
      </c>
      <c r="H372" s="21"/>
      <c r="I372" s="27"/>
      <c r="J372" s="23"/>
      <c r="K372" s="24" t="s">
        <v>4517</v>
      </c>
      <c r="L372" s="27"/>
    </row>
    <row r="373">
      <c r="A373" s="73" t="s">
        <v>5638</v>
      </c>
      <c r="B373" s="24" t="s">
        <v>718</v>
      </c>
      <c r="C373" s="21" t="s">
        <v>716</v>
      </c>
      <c r="D373" s="21" t="s">
        <v>716</v>
      </c>
      <c r="E373" s="21">
        <v>0.06</v>
      </c>
      <c r="F373" s="21">
        <v>0.06</v>
      </c>
      <c r="G373" s="21">
        <v>0.225</v>
      </c>
      <c r="H373" s="21"/>
      <c r="I373" s="27"/>
      <c r="J373" s="23"/>
      <c r="K373" s="24" t="s">
        <v>713</v>
      </c>
      <c r="L373" s="27"/>
    </row>
    <row r="374">
      <c r="A374" s="73" t="s">
        <v>5639</v>
      </c>
      <c r="B374" s="24" t="s">
        <v>4540</v>
      </c>
      <c r="C374" s="21" t="s">
        <v>4547</v>
      </c>
      <c r="D374" s="21" t="s">
        <v>4547</v>
      </c>
      <c r="E374" s="21">
        <v>0.08</v>
      </c>
      <c r="F374" s="21">
        <v>0.122</v>
      </c>
      <c r="G374" s="21">
        <v>0.06</v>
      </c>
      <c r="H374" s="21"/>
      <c r="I374" s="27"/>
      <c r="J374" s="23"/>
      <c r="K374" s="24" t="s">
        <v>4535</v>
      </c>
      <c r="L374" s="27"/>
    </row>
    <row r="375">
      <c r="A375" s="73" t="s">
        <v>5640</v>
      </c>
      <c r="B375" s="24" t="s">
        <v>4540</v>
      </c>
      <c r="C375" s="21" t="s">
        <v>4538</v>
      </c>
      <c r="D375" s="21" t="s">
        <v>4538</v>
      </c>
      <c r="E375" s="21">
        <v>0.08</v>
      </c>
      <c r="F375" s="21">
        <v>0.122</v>
      </c>
      <c r="G375" s="21">
        <v>0.06</v>
      </c>
      <c r="H375" s="21"/>
      <c r="I375" s="27"/>
      <c r="J375" s="23"/>
      <c r="K375" s="24" t="s">
        <v>4535</v>
      </c>
      <c r="L375" s="27"/>
    </row>
    <row r="376">
      <c r="A376" s="73" t="s">
        <v>5641</v>
      </c>
      <c r="B376" s="24" t="s">
        <v>512</v>
      </c>
      <c r="C376" s="21" t="s">
        <v>4315</v>
      </c>
      <c r="D376" s="21" t="s">
        <v>4315</v>
      </c>
      <c r="E376" s="21">
        <v>0.058</v>
      </c>
      <c r="F376" s="21">
        <v>0.058</v>
      </c>
      <c r="G376" s="21">
        <v>0.212</v>
      </c>
      <c r="H376" s="21"/>
      <c r="I376" s="27"/>
      <c r="J376" s="23"/>
      <c r="K376" s="24" t="s">
        <v>4312</v>
      </c>
      <c r="L376" s="27"/>
    </row>
    <row r="377">
      <c r="A377" s="73" t="s">
        <v>5642</v>
      </c>
      <c r="B377" s="24" t="s">
        <v>1555</v>
      </c>
      <c r="C377" s="21" t="s">
        <v>4036</v>
      </c>
      <c r="D377" s="21" t="s">
        <v>4036</v>
      </c>
      <c r="E377" s="21">
        <v>0.055</v>
      </c>
      <c r="F377" s="21">
        <v>0.055</v>
      </c>
      <c r="G377" s="21">
        <v>0.205</v>
      </c>
      <c r="H377" s="21"/>
      <c r="I377" s="27"/>
      <c r="J377" s="23"/>
      <c r="K377" s="24" t="s">
        <v>4027</v>
      </c>
      <c r="L377" s="27"/>
    </row>
    <row r="378">
      <c r="A378" s="73" t="s">
        <v>5643</v>
      </c>
      <c r="B378" s="24" t="s">
        <v>1555</v>
      </c>
      <c r="C378" s="21" t="s">
        <v>4030</v>
      </c>
      <c r="D378" s="21" t="s">
        <v>4030</v>
      </c>
      <c r="E378" s="21">
        <v>0.055</v>
      </c>
      <c r="F378" s="21">
        <v>0.055</v>
      </c>
      <c r="G378" s="21">
        <v>0.205</v>
      </c>
      <c r="H378" s="21"/>
      <c r="I378" s="27"/>
      <c r="J378" s="23"/>
      <c r="K378" s="24" t="s">
        <v>4027</v>
      </c>
      <c r="L378" s="27"/>
    </row>
    <row r="379">
      <c r="A379" s="73" t="s">
        <v>5644</v>
      </c>
      <c r="B379" s="24" t="s">
        <v>1385</v>
      </c>
      <c r="C379" s="21" t="s">
        <v>4051</v>
      </c>
      <c r="D379" s="21" t="s">
        <v>4051</v>
      </c>
      <c r="E379" s="21">
        <v>0.062</v>
      </c>
      <c r="F379" s="21">
        <v>0.062</v>
      </c>
      <c r="G379" s="21">
        <v>0.23</v>
      </c>
      <c r="H379" s="21"/>
      <c r="I379" s="27"/>
      <c r="J379" s="23"/>
      <c r="K379" s="24" t="s">
        <v>4048</v>
      </c>
      <c r="L379" s="27"/>
    </row>
    <row r="380">
      <c r="A380" s="73" t="s">
        <v>5645</v>
      </c>
      <c r="B380" s="24" t="s">
        <v>1413</v>
      </c>
      <c r="C380" s="21" t="s">
        <v>4356</v>
      </c>
      <c r="D380" s="21" t="s">
        <v>4356</v>
      </c>
      <c r="E380" s="21">
        <v>0.02</v>
      </c>
      <c r="F380" s="21">
        <v>0.09999999</v>
      </c>
      <c r="G380" s="21">
        <v>0.155</v>
      </c>
      <c r="H380" s="21"/>
      <c r="I380" s="27"/>
      <c r="J380" s="23"/>
      <c r="K380" s="24" t="s">
        <v>4338</v>
      </c>
      <c r="L380" s="27"/>
    </row>
    <row r="381">
      <c r="A381" s="73" t="s">
        <v>5646</v>
      </c>
      <c r="B381" s="24" t="s">
        <v>1413</v>
      </c>
      <c r="C381" s="21" t="s">
        <v>4341</v>
      </c>
      <c r="D381" s="21" t="s">
        <v>4341</v>
      </c>
      <c r="E381" s="21">
        <v>0.02</v>
      </c>
      <c r="F381" s="21">
        <v>0.09999999</v>
      </c>
      <c r="G381" s="21">
        <v>0.155</v>
      </c>
      <c r="H381" s="21"/>
      <c r="I381" s="27"/>
      <c r="J381" s="23"/>
      <c r="K381" s="24" t="s">
        <v>4338</v>
      </c>
      <c r="L381" s="27"/>
    </row>
    <row r="382">
      <c r="A382" s="73" t="s">
        <v>5647</v>
      </c>
      <c r="B382" s="24" t="s">
        <v>1413</v>
      </c>
      <c r="C382" s="21" t="s">
        <v>4366</v>
      </c>
      <c r="D382" s="21" t="s">
        <v>4366</v>
      </c>
      <c r="E382" s="21">
        <v>0.035</v>
      </c>
      <c r="F382" s="21">
        <v>0.14</v>
      </c>
      <c r="G382" s="21">
        <v>0.26</v>
      </c>
      <c r="H382" s="21"/>
      <c r="I382" s="27"/>
      <c r="J382" s="23"/>
      <c r="K382" s="24" t="s">
        <v>4338</v>
      </c>
      <c r="L382" s="27"/>
    </row>
    <row r="383">
      <c r="A383" s="73" t="s">
        <v>5648</v>
      </c>
      <c r="B383" s="24" t="s">
        <v>1413</v>
      </c>
      <c r="C383" s="21" t="s">
        <v>4376</v>
      </c>
      <c r="D383" s="21" t="s">
        <v>4376</v>
      </c>
      <c r="E383" s="21">
        <v>0.07</v>
      </c>
      <c r="F383" s="21">
        <v>0.15</v>
      </c>
      <c r="G383" s="21">
        <v>0.255</v>
      </c>
      <c r="H383" s="21"/>
      <c r="I383" s="27"/>
      <c r="J383" s="23"/>
      <c r="K383" s="24" t="s">
        <v>4338</v>
      </c>
      <c r="L383" s="27"/>
    </row>
    <row r="384">
      <c r="A384" s="73" t="s">
        <v>5649</v>
      </c>
      <c r="B384" s="24" t="s">
        <v>1413</v>
      </c>
      <c r="C384" s="21" t="s">
        <v>4346</v>
      </c>
      <c r="D384" s="21" t="s">
        <v>4346</v>
      </c>
      <c r="E384" s="21">
        <v>0.035</v>
      </c>
      <c r="F384" s="21">
        <v>0.15</v>
      </c>
      <c r="G384" s="21">
        <v>0.26</v>
      </c>
      <c r="H384" s="21"/>
      <c r="I384" s="27"/>
      <c r="J384" s="23"/>
      <c r="K384" s="24" t="s">
        <v>4338</v>
      </c>
      <c r="L384" s="27"/>
    </row>
    <row r="385">
      <c r="A385" s="73" t="s">
        <v>5650</v>
      </c>
      <c r="B385" s="24" t="s">
        <v>1413</v>
      </c>
      <c r="C385" s="21" t="s">
        <v>4361</v>
      </c>
      <c r="D385" s="21" t="s">
        <v>4361</v>
      </c>
      <c r="E385" s="21">
        <v>0.07</v>
      </c>
      <c r="F385" s="21">
        <v>0.14</v>
      </c>
      <c r="G385" s="21">
        <v>0.255</v>
      </c>
      <c r="H385" s="21"/>
      <c r="I385" s="27"/>
      <c r="J385" s="23"/>
      <c r="K385" s="24" t="s">
        <v>4338</v>
      </c>
      <c r="L385" s="27"/>
    </row>
    <row r="386">
      <c r="A386" s="73" t="s">
        <v>5651</v>
      </c>
      <c r="B386" s="24" t="s">
        <v>1413</v>
      </c>
      <c r="C386" s="21" t="s">
        <v>4351</v>
      </c>
      <c r="D386" s="21" t="s">
        <v>4351</v>
      </c>
      <c r="E386" s="21">
        <v>0.07</v>
      </c>
      <c r="F386" s="21">
        <v>0.14</v>
      </c>
      <c r="G386" s="21">
        <v>0.255</v>
      </c>
      <c r="H386" s="21"/>
      <c r="I386" s="27"/>
      <c r="J386" s="23"/>
      <c r="K386" s="24" t="s">
        <v>4338</v>
      </c>
      <c r="L386" s="27"/>
    </row>
    <row r="387">
      <c r="A387" s="73" t="s">
        <v>5652</v>
      </c>
      <c r="B387" s="24" t="s">
        <v>1413</v>
      </c>
      <c r="C387" s="21" t="s">
        <v>4371</v>
      </c>
      <c r="D387" s="21" t="s">
        <v>4371</v>
      </c>
      <c r="E387" s="21">
        <v>0.035</v>
      </c>
      <c r="F387" s="21">
        <v>0.14</v>
      </c>
      <c r="G387" s="21">
        <v>0.26</v>
      </c>
      <c r="H387" s="21"/>
      <c r="I387" s="27"/>
      <c r="J387" s="23"/>
      <c r="K387" s="24" t="s">
        <v>4338</v>
      </c>
      <c r="L387" s="27"/>
    </row>
    <row r="388">
      <c r="A388" s="73" t="s">
        <v>5653</v>
      </c>
      <c r="B388" s="24" t="s">
        <v>501</v>
      </c>
      <c r="C388" s="21" t="s">
        <v>4332</v>
      </c>
      <c r="D388" s="21" t="s">
        <v>4332</v>
      </c>
      <c r="E388" s="21">
        <v>0.02</v>
      </c>
      <c r="F388" s="21">
        <v>0.2</v>
      </c>
      <c r="G388" s="21">
        <v>0.18</v>
      </c>
      <c r="H388" s="21"/>
      <c r="I388" s="27"/>
      <c r="J388" s="23"/>
      <c r="K388" s="24" t="s">
        <v>4321</v>
      </c>
      <c r="L388" s="27"/>
    </row>
    <row r="389">
      <c r="A389" s="73" t="s">
        <v>5654</v>
      </c>
      <c r="B389" s="24" t="s">
        <v>501</v>
      </c>
      <c r="C389" s="21" t="s">
        <v>4324</v>
      </c>
      <c r="D389" s="21" t="s">
        <v>4324</v>
      </c>
      <c r="E389" s="21">
        <v>0.02</v>
      </c>
      <c r="F389" s="21">
        <v>0.118</v>
      </c>
      <c r="G389" s="21">
        <v>0.03</v>
      </c>
      <c r="H389" s="21"/>
      <c r="I389" s="27"/>
      <c r="J389" s="23"/>
      <c r="K389" s="24" t="s">
        <v>4321</v>
      </c>
      <c r="L389" s="27"/>
    </row>
    <row r="390">
      <c r="A390" s="73" t="s">
        <v>5655</v>
      </c>
      <c r="B390" s="24" t="s">
        <v>501</v>
      </c>
      <c r="C390" s="21" t="s">
        <v>4414</v>
      </c>
      <c r="D390" s="21" t="s">
        <v>4414</v>
      </c>
      <c r="E390" s="21">
        <v>0.05</v>
      </c>
      <c r="F390" s="21">
        <v>0.09999999</v>
      </c>
      <c r="G390" s="21">
        <v>0.15</v>
      </c>
      <c r="H390" s="21"/>
      <c r="I390" s="27"/>
      <c r="J390" s="23"/>
      <c r="K390" s="24" t="s">
        <v>4398</v>
      </c>
      <c r="L390" s="27"/>
    </row>
    <row r="391">
      <c r="A391" s="73" t="s">
        <v>5656</v>
      </c>
      <c r="B391" s="24" t="s">
        <v>501</v>
      </c>
      <c r="C391" s="21" t="s">
        <v>4407</v>
      </c>
      <c r="D391" s="21" t="s">
        <v>4407</v>
      </c>
      <c r="E391" s="21">
        <v>0.05</v>
      </c>
      <c r="F391" s="21">
        <v>0.09999999</v>
      </c>
      <c r="G391" s="21">
        <v>0.15</v>
      </c>
      <c r="H391" s="21"/>
      <c r="I391" s="27"/>
      <c r="J391" s="23"/>
      <c r="K391" s="24" t="s">
        <v>4398</v>
      </c>
      <c r="L391" s="27"/>
    </row>
    <row r="392">
      <c r="A392" s="73" t="s">
        <v>5657</v>
      </c>
      <c r="B392" s="24" t="s">
        <v>1484</v>
      </c>
      <c r="C392" s="21" t="s">
        <v>4401</v>
      </c>
      <c r="D392" s="21" t="s">
        <v>4401</v>
      </c>
      <c r="E392" s="21">
        <v>0.01</v>
      </c>
      <c r="F392" s="21">
        <v>0.09</v>
      </c>
      <c r="G392" s="21">
        <v>0.18</v>
      </c>
      <c r="H392" s="21"/>
      <c r="I392" s="27"/>
      <c r="J392" s="23"/>
      <c r="K392" s="24" t="s">
        <v>4398</v>
      </c>
      <c r="L392" s="27"/>
    </row>
    <row r="393">
      <c r="A393" s="73" t="s">
        <v>5658</v>
      </c>
      <c r="B393" s="24" t="s">
        <v>4450</v>
      </c>
      <c r="C393" s="21" t="s">
        <v>4474</v>
      </c>
      <c r="D393" s="21" t="s">
        <v>4474</v>
      </c>
      <c r="E393" s="21">
        <v>0.065</v>
      </c>
      <c r="F393" s="21">
        <v>0.065</v>
      </c>
      <c r="G393" s="21">
        <v>0.24</v>
      </c>
      <c r="H393" s="21"/>
      <c r="I393" s="27"/>
      <c r="J393" s="23"/>
      <c r="K393" s="24" t="s">
        <v>4445</v>
      </c>
      <c r="L393" s="27"/>
    </row>
    <row r="394">
      <c r="A394" s="73" t="s">
        <v>5659</v>
      </c>
      <c r="B394" s="24" t="s">
        <v>4450</v>
      </c>
      <c r="C394" s="21" t="s">
        <v>4481</v>
      </c>
      <c r="D394" s="21" t="s">
        <v>4481</v>
      </c>
      <c r="E394" s="21">
        <v>0.057</v>
      </c>
      <c r="F394" s="21">
        <v>0.057</v>
      </c>
      <c r="G394" s="21">
        <v>0.14</v>
      </c>
      <c r="H394" s="21"/>
      <c r="I394" s="27"/>
      <c r="J394" s="23"/>
      <c r="K394" s="24" t="s">
        <v>4445</v>
      </c>
      <c r="L394" s="27"/>
    </row>
    <row r="395">
      <c r="A395" s="73" t="s">
        <v>5660</v>
      </c>
      <c r="B395" s="24" t="s">
        <v>4450</v>
      </c>
      <c r="C395" s="21" t="s">
        <v>4448</v>
      </c>
      <c r="D395" s="21" t="s">
        <v>4448</v>
      </c>
      <c r="E395" s="21">
        <v>0.095</v>
      </c>
      <c r="F395" s="21">
        <v>0.095</v>
      </c>
      <c r="G395" s="21">
        <v>0.333</v>
      </c>
      <c r="H395" s="21"/>
      <c r="I395" s="27"/>
      <c r="J395" s="23"/>
      <c r="K395" s="24" t="s">
        <v>4445</v>
      </c>
      <c r="L395" s="27"/>
    </row>
    <row r="396">
      <c r="A396" s="73" t="s">
        <v>5661</v>
      </c>
      <c r="B396" s="24" t="s">
        <v>4261</v>
      </c>
      <c r="C396" s="21" t="s">
        <v>4468</v>
      </c>
      <c r="D396" s="21" t="s">
        <v>4468</v>
      </c>
      <c r="E396" s="21">
        <v>0.065</v>
      </c>
      <c r="F396" s="21">
        <v>0.065</v>
      </c>
      <c r="G396" s="21">
        <v>0.24</v>
      </c>
      <c r="H396" s="21"/>
      <c r="I396" s="27"/>
      <c r="J396" s="23"/>
      <c r="K396" s="24" t="s">
        <v>4445</v>
      </c>
      <c r="L396" s="27"/>
    </row>
    <row r="397">
      <c r="A397" s="73" t="s">
        <v>5662</v>
      </c>
      <c r="B397" s="24" t="s">
        <v>4261</v>
      </c>
      <c r="C397" s="21" t="s">
        <v>4456</v>
      </c>
      <c r="D397" s="21" t="s">
        <v>4456</v>
      </c>
      <c r="E397" s="21">
        <v>0.057</v>
      </c>
      <c r="F397" s="21">
        <v>0.057</v>
      </c>
      <c r="G397" s="21">
        <v>0.14</v>
      </c>
      <c r="H397" s="21"/>
      <c r="I397" s="27"/>
      <c r="J397" s="23"/>
      <c r="K397" s="24" t="s">
        <v>4445</v>
      </c>
      <c r="L397" s="27"/>
    </row>
    <row r="398">
      <c r="A398" s="73" t="s">
        <v>5663</v>
      </c>
      <c r="B398" s="24" t="s">
        <v>4261</v>
      </c>
      <c r="C398" s="21" t="s">
        <v>4462</v>
      </c>
      <c r="D398" s="21" t="s">
        <v>4462</v>
      </c>
      <c r="E398" s="21">
        <v>0.095</v>
      </c>
      <c r="F398" s="21">
        <v>0.095</v>
      </c>
      <c r="G398" s="21">
        <v>0.333</v>
      </c>
      <c r="H398" s="21"/>
      <c r="I398" s="27"/>
      <c r="J398" s="23"/>
      <c r="K398" s="24" t="s">
        <v>4445</v>
      </c>
      <c r="L398" s="27"/>
    </row>
    <row r="399">
      <c r="A399" s="73" t="s">
        <v>5664</v>
      </c>
      <c r="B399" s="24" t="s">
        <v>718</v>
      </c>
      <c r="C399" s="21" t="s">
        <v>4428</v>
      </c>
      <c r="D399" s="21" t="s">
        <v>4428</v>
      </c>
      <c r="E399" s="21">
        <v>0.09</v>
      </c>
      <c r="F399" s="21">
        <v>0.09</v>
      </c>
      <c r="G399" s="21">
        <v>0.316</v>
      </c>
      <c r="H399" s="21"/>
      <c r="I399" s="27"/>
      <c r="J399" s="23"/>
      <c r="K399" s="24" t="s">
        <v>4419</v>
      </c>
      <c r="L399" s="27"/>
    </row>
    <row r="400">
      <c r="A400" s="73" t="s">
        <v>5665</v>
      </c>
      <c r="B400" s="24" t="s">
        <v>718</v>
      </c>
      <c r="C400" s="21" t="s">
        <v>4440</v>
      </c>
      <c r="D400" s="21" t="s">
        <v>4440</v>
      </c>
      <c r="E400" s="21">
        <v>0.09</v>
      </c>
      <c r="F400" s="21">
        <v>0.09</v>
      </c>
      <c r="G400" s="21">
        <v>0.316</v>
      </c>
      <c r="H400" s="21"/>
      <c r="I400" s="27"/>
      <c r="J400" s="23"/>
      <c r="K400" s="24" t="s">
        <v>4419</v>
      </c>
      <c r="L400" s="27"/>
    </row>
    <row r="401">
      <c r="A401" s="73" t="s">
        <v>5666</v>
      </c>
      <c r="B401" s="24" t="s">
        <v>1555</v>
      </c>
      <c r="C401" s="21" t="s">
        <v>4422</v>
      </c>
      <c r="D401" s="21" t="s">
        <v>4422</v>
      </c>
      <c r="E401" s="21">
        <v>0.065</v>
      </c>
      <c r="F401" s="21">
        <v>0.065</v>
      </c>
      <c r="G401" s="21">
        <v>0.172</v>
      </c>
      <c r="H401" s="21"/>
      <c r="I401" s="27"/>
      <c r="J401" s="23"/>
      <c r="K401" s="24" t="s">
        <v>4419</v>
      </c>
      <c r="L401" s="27"/>
    </row>
    <row r="402">
      <c r="A402" s="73" t="s">
        <v>5667</v>
      </c>
      <c r="B402" s="24" t="s">
        <v>1555</v>
      </c>
      <c r="C402" s="21" t="s">
        <v>4434</v>
      </c>
      <c r="D402" s="21" t="s">
        <v>4434</v>
      </c>
      <c r="E402" s="21">
        <v>0.065</v>
      </c>
      <c r="F402" s="21">
        <v>0.065</v>
      </c>
      <c r="G402" s="21">
        <v>0.172</v>
      </c>
      <c r="H402" s="21"/>
      <c r="I402" s="27"/>
      <c r="J402" s="23"/>
      <c r="K402" s="24" t="s">
        <v>4419</v>
      </c>
      <c r="L402" s="27"/>
    </row>
    <row r="403">
      <c r="A403" s="73" t="s">
        <v>5668</v>
      </c>
      <c r="B403" s="24" t="s">
        <v>4279</v>
      </c>
      <c r="C403" s="21" t="s">
        <v>4277</v>
      </c>
      <c r="D403" s="21" t="s">
        <v>4277</v>
      </c>
      <c r="E403" s="21">
        <v>0.09</v>
      </c>
      <c r="F403" s="21">
        <v>0.095</v>
      </c>
      <c r="G403" s="21">
        <v>0.07</v>
      </c>
      <c r="H403" s="21"/>
      <c r="I403" s="27"/>
      <c r="J403" s="23"/>
      <c r="K403" s="24" t="s">
        <v>4274</v>
      </c>
      <c r="L403" s="27"/>
    </row>
    <row r="404">
      <c r="A404" s="73" t="s">
        <v>5669</v>
      </c>
      <c r="B404" s="24" t="s">
        <v>2625</v>
      </c>
      <c r="C404" s="21" t="s">
        <v>4294</v>
      </c>
      <c r="D404" s="21" t="s">
        <v>4294</v>
      </c>
      <c r="E404" s="21">
        <v>0.005</v>
      </c>
      <c r="F404" s="21">
        <v>0.07</v>
      </c>
      <c r="G404" s="21">
        <v>0.122</v>
      </c>
      <c r="H404" s="21"/>
      <c r="I404" s="27"/>
      <c r="J404" s="23"/>
      <c r="K404" s="24" t="s">
        <v>4285</v>
      </c>
      <c r="L404" s="27"/>
    </row>
    <row r="405">
      <c r="A405" s="73" t="s">
        <v>5670</v>
      </c>
      <c r="B405" s="24" t="s">
        <v>2625</v>
      </c>
      <c r="C405" s="21" t="s">
        <v>4288</v>
      </c>
      <c r="D405" s="21" t="s">
        <v>4288</v>
      </c>
      <c r="E405" s="21">
        <v>0.005</v>
      </c>
      <c r="F405" s="21">
        <v>0.07</v>
      </c>
      <c r="G405" s="21">
        <v>0.122</v>
      </c>
      <c r="H405" s="21"/>
      <c r="I405" s="27"/>
      <c r="J405" s="23"/>
      <c r="K405" s="24" t="s">
        <v>4285</v>
      </c>
      <c r="L405" s="27"/>
    </row>
    <row r="406">
      <c r="A406" s="73" t="s">
        <v>5671</v>
      </c>
      <c r="B406" s="24" t="s">
        <v>29</v>
      </c>
      <c r="C406" s="21" t="s">
        <v>26</v>
      </c>
      <c r="D406" s="21" t="s">
        <v>26</v>
      </c>
      <c r="E406" s="21">
        <v>0.05</v>
      </c>
      <c r="F406" s="21">
        <v>0.15</v>
      </c>
      <c r="G406" s="21">
        <v>0.27</v>
      </c>
      <c r="H406" s="21"/>
      <c r="I406" s="27"/>
      <c r="J406" s="23"/>
      <c r="K406" s="24" t="s">
        <v>23</v>
      </c>
      <c r="L406" s="27"/>
    </row>
    <row r="407">
      <c r="A407" s="73" t="s">
        <v>5672</v>
      </c>
      <c r="B407" s="24" t="s">
        <v>29</v>
      </c>
      <c r="C407" s="21" t="s">
        <v>42</v>
      </c>
      <c r="D407" s="21" t="s">
        <v>42</v>
      </c>
      <c r="E407" s="21">
        <v>0.05</v>
      </c>
      <c r="F407" s="21">
        <v>0.15</v>
      </c>
      <c r="G407" s="21">
        <v>0.27</v>
      </c>
      <c r="H407" s="21"/>
      <c r="I407" s="27"/>
      <c r="J407" s="23"/>
      <c r="K407" s="24" t="s">
        <v>23</v>
      </c>
      <c r="L407" s="27"/>
    </row>
    <row r="408">
      <c r="A408" s="73" t="s">
        <v>5673</v>
      </c>
      <c r="B408" s="24" t="s">
        <v>29</v>
      </c>
      <c r="C408" s="21" t="s">
        <v>35</v>
      </c>
      <c r="D408" s="21" t="s">
        <v>35</v>
      </c>
      <c r="E408" s="21">
        <v>0.05</v>
      </c>
      <c r="F408" s="21">
        <v>0.17</v>
      </c>
      <c r="G408" s="21">
        <v>0.27</v>
      </c>
      <c r="H408" s="21"/>
      <c r="I408" s="27"/>
      <c r="J408" s="23"/>
      <c r="K408" s="24" t="s">
        <v>23</v>
      </c>
      <c r="L408" s="27"/>
    </row>
    <row r="409">
      <c r="A409" s="73" t="s">
        <v>5674</v>
      </c>
      <c r="B409" s="24" t="s">
        <v>1011</v>
      </c>
      <c r="C409" s="21" t="s">
        <v>1144</v>
      </c>
      <c r="D409" s="21" t="s">
        <v>1144</v>
      </c>
      <c r="E409" s="21">
        <v>0.075</v>
      </c>
      <c r="F409" s="21">
        <v>0.073</v>
      </c>
      <c r="G409" s="21">
        <v>0.072</v>
      </c>
      <c r="H409" s="21"/>
      <c r="I409" s="27"/>
      <c r="J409" s="23"/>
      <c r="K409" s="24" t="s">
        <v>1141</v>
      </c>
      <c r="L409" s="27"/>
    </row>
    <row r="410">
      <c r="A410" s="73" t="s">
        <v>5675</v>
      </c>
      <c r="B410" s="24" t="s">
        <v>1011</v>
      </c>
      <c r="C410" s="21" t="s">
        <v>1151</v>
      </c>
      <c r="D410" s="21" t="s">
        <v>1151</v>
      </c>
      <c r="E410" s="21">
        <v>0.075</v>
      </c>
      <c r="F410" s="21">
        <v>0.073</v>
      </c>
      <c r="G410" s="21">
        <v>0.072</v>
      </c>
      <c r="H410" s="21"/>
      <c r="I410" s="27"/>
      <c r="J410" s="23"/>
      <c r="K410" s="24" t="s">
        <v>1141</v>
      </c>
      <c r="L410" s="27"/>
    </row>
    <row r="411">
      <c r="A411" s="73" t="s">
        <v>5676</v>
      </c>
      <c r="B411" s="24" t="s">
        <v>4815</v>
      </c>
      <c r="C411" s="21" t="s">
        <v>4813</v>
      </c>
      <c r="D411" s="21" t="s">
        <v>4813</v>
      </c>
      <c r="E411" s="21">
        <v>0.09</v>
      </c>
      <c r="F411" s="21">
        <v>0.09</v>
      </c>
      <c r="G411" s="21">
        <v>0.15</v>
      </c>
      <c r="H411" s="21"/>
      <c r="I411" s="27"/>
      <c r="J411" s="23"/>
      <c r="K411" s="24" t="s">
        <v>4810</v>
      </c>
      <c r="L411" s="27"/>
    </row>
    <row r="412">
      <c r="A412" s="73" t="s">
        <v>5677</v>
      </c>
      <c r="B412" s="24" t="s">
        <v>185</v>
      </c>
      <c r="C412" s="21" t="s">
        <v>224</v>
      </c>
      <c r="D412" s="21" t="s">
        <v>224</v>
      </c>
      <c r="E412" s="21">
        <v>0.035</v>
      </c>
      <c r="F412" s="21">
        <v>0.135</v>
      </c>
      <c r="G412" s="21">
        <v>0.2</v>
      </c>
      <c r="H412" s="21"/>
      <c r="I412" s="27"/>
      <c r="J412" s="23"/>
      <c r="K412" s="32" t="s">
        <v>1164</v>
      </c>
      <c r="L412" s="27"/>
    </row>
    <row r="413">
      <c r="A413" s="73" t="s">
        <v>5678</v>
      </c>
      <c r="B413" s="24" t="s">
        <v>185</v>
      </c>
      <c r="C413" s="21" t="s">
        <v>201</v>
      </c>
      <c r="D413" s="21" t="s">
        <v>201</v>
      </c>
      <c r="E413" s="21">
        <v>0.035</v>
      </c>
      <c r="F413" s="21">
        <v>0.135</v>
      </c>
      <c r="G413" s="21">
        <v>0.2</v>
      </c>
      <c r="H413" s="21"/>
      <c r="I413" s="27"/>
      <c r="J413" s="23"/>
      <c r="K413" s="32" t="s">
        <v>1164</v>
      </c>
      <c r="L413" s="27"/>
    </row>
    <row r="414">
      <c r="A414" s="73" t="s">
        <v>5679</v>
      </c>
      <c r="B414" s="24" t="s">
        <v>185</v>
      </c>
      <c r="C414" s="21" t="s">
        <v>207</v>
      </c>
      <c r="D414" s="21" t="s">
        <v>207</v>
      </c>
      <c r="E414" s="21">
        <v>0.035</v>
      </c>
      <c r="F414" s="21">
        <v>0.15</v>
      </c>
      <c r="G414" s="21">
        <v>0.23</v>
      </c>
      <c r="H414" s="21"/>
      <c r="I414" s="27"/>
      <c r="J414" s="23"/>
      <c r="K414" s="32" t="s">
        <v>1164</v>
      </c>
      <c r="L414" s="27"/>
    </row>
    <row r="415">
      <c r="A415" s="73" t="s">
        <v>5680</v>
      </c>
      <c r="B415" s="24" t="s">
        <v>185</v>
      </c>
      <c r="C415" s="21" t="s">
        <v>214</v>
      </c>
      <c r="D415" s="21" t="s">
        <v>214</v>
      </c>
      <c r="E415" s="21">
        <v>0.035</v>
      </c>
      <c r="F415" s="21">
        <v>0.15</v>
      </c>
      <c r="G415" s="21">
        <v>0.23</v>
      </c>
      <c r="H415" s="21"/>
      <c r="I415" s="27"/>
      <c r="J415" s="23"/>
      <c r="K415" s="32" t="s">
        <v>1164</v>
      </c>
      <c r="L415" s="27"/>
    </row>
    <row r="416">
      <c r="A416" s="73" t="s">
        <v>5681</v>
      </c>
      <c r="B416" s="24"/>
      <c r="C416" s="20" t="s">
        <v>220</v>
      </c>
      <c r="D416" s="20" t="s">
        <v>220</v>
      </c>
      <c r="E416" s="21">
        <v>0.035</v>
      </c>
      <c r="F416" s="21">
        <v>0.15</v>
      </c>
      <c r="G416" s="21">
        <v>0.23</v>
      </c>
      <c r="H416" s="21"/>
      <c r="I416" s="27"/>
      <c r="J416" s="23"/>
      <c r="K416" s="32" t="s">
        <v>1164</v>
      </c>
      <c r="L416" s="27"/>
    </row>
    <row r="417">
      <c r="A417" s="73" t="s">
        <v>5682</v>
      </c>
      <c r="B417" s="24" t="s">
        <v>501</v>
      </c>
      <c r="C417" s="21" t="s">
        <v>1183</v>
      </c>
      <c r="D417" s="21" t="s">
        <v>1183</v>
      </c>
      <c r="E417" s="21">
        <v>0.03</v>
      </c>
      <c r="F417" s="21">
        <v>0.24</v>
      </c>
      <c r="G417" s="21">
        <v>0.09</v>
      </c>
      <c r="H417" s="21"/>
      <c r="I417" s="27"/>
      <c r="J417" s="23"/>
      <c r="K417" s="32" t="s">
        <v>1164</v>
      </c>
      <c r="L417" s="27"/>
    </row>
    <row r="418">
      <c r="A418" s="73" t="s">
        <v>5683</v>
      </c>
      <c r="B418" s="24" t="s">
        <v>501</v>
      </c>
      <c r="C418" s="21" t="s">
        <v>1177</v>
      </c>
      <c r="D418" s="21" t="s">
        <v>1177</v>
      </c>
      <c r="E418" s="21">
        <v>0.03</v>
      </c>
      <c r="F418" s="21">
        <v>0.24</v>
      </c>
      <c r="G418" s="21">
        <v>0.09</v>
      </c>
      <c r="H418" s="21"/>
      <c r="I418" s="27"/>
      <c r="J418" s="23"/>
      <c r="K418" s="32" t="s">
        <v>1164</v>
      </c>
      <c r="L418" s="27"/>
    </row>
    <row r="419">
      <c r="A419" s="73" t="s">
        <v>5684</v>
      </c>
      <c r="B419" s="24" t="s">
        <v>2611</v>
      </c>
      <c r="C419" s="21" t="s">
        <v>2915</v>
      </c>
      <c r="D419" s="21" t="s">
        <v>2915</v>
      </c>
      <c r="E419" s="21">
        <v>0.015</v>
      </c>
      <c r="F419" s="21">
        <v>0.12</v>
      </c>
      <c r="G419" s="21">
        <v>0.19</v>
      </c>
      <c r="H419" s="21"/>
      <c r="I419" s="27"/>
      <c r="J419" s="23"/>
      <c r="K419" s="32" t="s">
        <v>1164</v>
      </c>
      <c r="L419" s="27"/>
    </row>
    <row r="420">
      <c r="A420" s="73" t="s">
        <v>5685</v>
      </c>
      <c r="B420" s="24" t="s">
        <v>2611</v>
      </c>
      <c r="C420" s="21" t="s">
        <v>2921</v>
      </c>
      <c r="D420" s="21" t="s">
        <v>2921</v>
      </c>
      <c r="E420" s="21">
        <v>0.015</v>
      </c>
      <c r="F420" s="21">
        <v>0.12</v>
      </c>
      <c r="G420" s="21">
        <v>0.19</v>
      </c>
      <c r="H420" s="21"/>
      <c r="I420" s="27"/>
      <c r="J420" s="23"/>
      <c r="K420" s="32" t="s">
        <v>1164</v>
      </c>
      <c r="L420" s="27"/>
    </row>
    <row r="421">
      <c r="A421" s="73" t="s">
        <v>5686</v>
      </c>
      <c r="B421" s="24" t="s">
        <v>2611</v>
      </c>
      <c r="C421" s="21" t="s">
        <v>2909</v>
      </c>
      <c r="D421" s="21" t="s">
        <v>2909</v>
      </c>
      <c r="E421" s="21">
        <v>0.015</v>
      </c>
      <c r="F421" s="21">
        <v>0.12</v>
      </c>
      <c r="G421" s="21">
        <v>0.19</v>
      </c>
      <c r="H421" s="21"/>
      <c r="I421" s="27"/>
      <c r="J421" s="23"/>
      <c r="K421" s="32" t="s">
        <v>1164</v>
      </c>
      <c r="L421" s="27"/>
    </row>
    <row r="422">
      <c r="A422" s="73" t="s">
        <v>5687</v>
      </c>
      <c r="B422" s="24" t="s">
        <v>2611</v>
      </c>
      <c r="C422" s="21" t="s">
        <v>2903</v>
      </c>
      <c r="D422" s="21" t="s">
        <v>2903</v>
      </c>
      <c r="E422" s="21">
        <v>0.015</v>
      </c>
      <c r="F422" s="21">
        <v>0.12</v>
      </c>
      <c r="G422" s="21">
        <v>0.19</v>
      </c>
      <c r="H422" s="21"/>
      <c r="I422" s="27"/>
      <c r="J422" s="23"/>
      <c r="K422" s="32" t="s">
        <v>1164</v>
      </c>
      <c r="L422" s="27"/>
    </row>
    <row r="423">
      <c r="A423" s="73" t="s">
        <v>5688</v>
      </c>
      <c r="B423" s="24" t="s">
        <v>2611</v>
      </c>
      <c r="C423" s="21" t="s">
        <v>2897</v>
      </c>
      <c r="D423" s="21" t="s">
        <v>2897</v>
      </c>
      <c r="E423" s="21">
        <v>0.015</v>
      </c>
      <c r="F423" s="21">
        <v>0.12</v>
      </c>
      <c r="G423" s="21">
        <v>0.19</v>
      </c>
      <c r="H423" s="21"/>
      <c r="I423" s="27"/>
      <c r="J423" s="23"/>
      <c r="K423" s="32" t="s">
        <v>1164</v>
      </c>
      <c r="L423" s="27"/>
    </row>
    <row r="424">
      <c r="A424" s="73" t="s">
        <v>5689</v>
      </c>
      <c r="B424" s="24" t="s">
        <v>1194</v>
      </c>
      <c r="C424" s="21" t="s">
        <v>1212</v>
      </c>
      <c r="D424" s="21" t="s">
        <v>1212</v>
      </c>
      <c r="E424" s="21">
        <v>0.03</v>
      </c>
      <c r="F424" s="21">
        <v>0.28</v>
      </c>
      <c r="G424" s="21">
        <v>0.125</v>
      </c>
      <c r="H424" s="21"/>
      <c r="I424" s="27"/>
      <c r="J424" s="23"/>
      <c r="K424" s="32" t="s">
        <v>1164</v>
      </c>
      <c r="L424" s="27"/>
    </row>
    <row r="425">
      <c r="A425" s="73" t="s">
        <v>5690</v>
      </c>
      <c r="B425" s="24" t="s">
        <v>1194</v>
      </c>
      <c r="C425" s="21" t="s">
        <v>1201</v>
      </c>
      <c r="D425" s="21" t="s">
        <v>1201</v>
      </c>
      <c r="E425" s="21">
        <v>0.045</v>
      </c>
      <c r="F425" s="21">
        <v>0.27</v>
      </c>
      <c r="G425" s="21">
        <v>0.115</v>
      </c>
      <c r="H425" s="21"/>
      <c r="I425" s="27"/>
      <c r="J425" s="23"/>
      <c r="K425" s="32" t="s">
        <v>1164</v>
      </c>
      <c r="L425" s="27"/>
    </row>
    <row r="426">
      <c r="A426" s="73" t="s">
        <v>5691</v>
      </c>
      <c r="B426" s="24"/>
      <c r="C426" s="20" t="s">
        <v>1208</v>
      </c>
      <c r="D426" s="20" t="s">
        <v>1208</v>
      </c>
      <c r="E426" s="21">
        <v>0.045</v>
      </c>
      <c r="F426" s="21">
        <v>0.27</v>
      </c>
      <c r="G426" s="21">
        <v>0.115</v>
      </c>
      <c r="H426" s="21"/>
      <c r="I426" s="27"/>
      <c r="J426" s="23"/>
      <c r="K426" s="32" t="s">
        <v>1164</v>
      </c>
      <c r="L426" s="27"/>
    </row>
    <row r="427">
      <c r="A427" s="73" t="s">
        <v>5692</v>
      </c>
      <c r="B427" s="24" t="s">
        <v>1169</v>
      </c>
      <c r="C427" s="21" t="s">
        <v>1167</v>
      </c>
      <c r="D427" s="21" t="s">
        <v>1167</v>
      </c>
      <c r="E427" s="21">
        <v>0.09999999</v>
      </c>
      <c r="F427" s="21">
        <v>0.085</v>
      </c>
      <c r="G427" s="21">
        <v>0.14</v>
      </c>
      <c r="H427" s="21"/>
      <c r="I427" s="27"/>
      <c r="J427" s="23"/>
      <c r="K427" s="32" t="s">
        <v>1164</v>
      </c>
      <c r="L427" s="27"/>
    </row>
    <row r="428">
      <c r="A428" s="73" t="s">
        <v>5693</v>
      </c>
      <c r="B428" s="24" t="s">
        <v>340</v>
      </c>
      <c r="C428" s="21" t="s">
        <v>3541</v>
      </c>
      <c r="D428" s="21" t="s">
        <v>3541</v>
      </c>
      <c r="E428" s="21">
        <v>0.07</v>
      </c>
      <c r="F428" s="21">
        <v>0.07</v>
      </c>
      <c r="G428" s="21">
        <v>0.24</v>
      </c>
      <c r="H428" s="21"/>
      <c r="I428" s="27"/>
      <c r="J428" s="23"/>
      <c r="K428" s="24" t="s">
        <v>3538</v>
      </c>
      <c r="L428" s="27"/>
    </row>
    <row r="429">
      <c r="A429" s="73" t="s">
        <v>5694</v>
      </c>
      <c r="B429" s="24" t="s">
        <v>340</v>
      </c>
      <c r="C429" s="21" t="s">
        <v>3547</v>
      </c>
      <c r="D429" s="21" t="s">
        <v>3547</v>
      </c>
      <c r="E429" s="21">
        <v>0.07</v>
      </c>
      <c r="F429" s="21">
        <v>0.07</v>
      </c>
      <c r="G429" s="21">
        <v>0.24</v>
      </c>
      <c r="H429" s="21"/>
      <c r="I429" s="27"/>
      <c r="J429" s="23"/>
      <c r="K429" s="24" t="s">
        <v>3538</v>
      </c>
      <c r="L429" s="27"/>
    </row>
    <row r="430">
      <c r="A430" s="73" t="s">
        <v>5695</v>
      </c>
      <c r="B430" s="24" t="s">
        <v>1351</v>
      </c>
      <c r="C430" s="21" t="s">
        <v>1370</v>
      </c>
      <c r="D430" s="21" t="s">
        <v>1370</v>
      </c>
      <c r="E430" s="21">
        <v>0.057</v>
      </c>
      <c r="F430" s="21">
        <v>0.057</v>
      </c>
      <c r="G430" s="21">
        <v>0.14</v>
      </c>
      <c r="H430" s="21"/>
      <c r="I430" s="27"/>
      <c r="J430" s="23"/>
      <c r="K430" s="24" t="s">
        <v>1345</v>
      </c>
      <c r="L430" s="27"/>
    </row>
    <row r="431">
      <c r="A431" s="73" t="s">
        <v>5696</v>
      </c>
      <c r="B431" s="24" t="s">
        <v>1351</v>
      </c>
      <c r="C431" s="21" t="s">
        <v>1357</v>
      </c>
      <c r="D431" s="21" t="s">
        <v>1357</v>
      </c>
      <c r="E431" s="21">
        <v>0.065</v>
      </c>
      <c r="F431" s="21">
        <v>0.065</v>
      </c>
      <c r="G431" s="21">
        <v>0.24</v>
      </c>
      <c r="H431" s="21"/>
      <c r="I431" s="27"/>
      <c r="J431" s="23"/>
      <c r="K431" s="24" t="s">
        <v>1345</v>
      </c>
      <c r="L431" s="27"/>
    </row>
    <row r="432">
      <c r="A432" s="73" t="s">
        <v>5697</v>
      </c>
      <c r="B432" s="24" t="s">
        <v>1351</v>
      </c>
      <c r="C432" s="21" t="s">
        <v>1364</v>
      </c>
      <c r="D432" s="21" t="s">
        <v>1364</v>
      </c>
      <c r="E432" s="21">
        <v>0.065</v>
      </c>
      <c r="F432" s="21">
        <v>0.065</v>
      </c>
      <c r="G432" s="21">
        <v>0.24</v>
      </c>
      <c r="H432" s="21"/>
      <c r="I432" s="27"/>
      <c r="J432" s="23"/>
      <c r="K432" s="24" t="s">
        <v>1345</v>
      </c>
      <c r="L432" s="27"/>
    </row>
    <row r="433">
      <c r="A433" s="73" t="s">
        <v>5698</v>
      </c>
      <c r="B433" s="24" t="s">
        <v>1351</v>
      </c>
      <c r="C433" s="21" t="s">
        <v>1376</v>
      </c>
      <c r="D433" s="21" t="s">
        <v>1376</v>
      </c>
      <c r="E433" s="21">
        <v>0.095</v>
      </c>
      <c r="F433" s="21">
        <v>0.095</v>
      </c>
      <c r="G433" s="21">
        <v>0.333</v>
      </c>
      <c r="H433" s="21"/>
      <c r="I433" s="27"/>
      <c r="J433" s="23"/>
      <c r="K433" s="24" t="s">
        <v>1345</v>
      </c>
      <c r="L433" s="27"/>
    </row>
    <row r="434">
      <c r="A434" s="73" t="s">
        <v>5699</v>
      </c>
      <c r="B434" s="24" t="s">
        <v>1351</v>
      </c>
      <c r="C434" s="21" t="s">
        <v>1349</v>
      </c>
      <c r="D434" s="21" t="s">
        <v>1349</v>
      </c>
      <c r="E434" s="21">
        <v>0.095</v>
      </c>
      <c r="F434" s="21">
        <v>0.095</v>
      </c>
      <c r="G434" s="21">
        <v>0.333</v>
      </c>
      <c r="H434" s="21"/>
      <c r="I434" s="27"/>
      <c r="J434" s="23"/>
      <c r="K434" s="24" t="s">
        <v>1345</v>
      </c>
      <c r="L434" s="27"/>
    </row>
    <row r="435">
      <c r="A435" s="73" t="s">
        <v>5700</v>
      </c>
      <c r="B435" s="24" t="s">
        <v>109</v>
      </c>
      <c r="C435" s="21" t="s">
        <v>3533</v>
      </c>
      <c r="D435" s="21" t="s">
        <v>3533</v>
      </c>
      <c r="E435" s="21">
        <v>0.012</v>
      </c>
      <c r="F435" s="21">
        <v>0.14</v>
      </c>
      <c r="G435" s="21">
        <v>0.18</v>
      </c>
      <c r="H435" s="21"/>
      <c r="I435" s="27"/>
      <c r="J435" s="23"/>
      <c r="K435" s="24" t="s">
        <v>3530</v>
      </c>
      <c r="L435" s="27"/>
    </row>
    <row r="436">
      <c r="A436" s="73" t="s">
        <v>5701</v>
      </c>
      <c r="B436" s="24" t="s">
        <v>109</v>
      </c>
      <c r="C436" s="21" t="s">
        <v>3524</v>
      </c>
      <c r="D436" s="21" t="s">
        <v>3524</v>
      </c>
      <c r="E436" s="21">
        <v>0.06</v>
      </c>
      <c r="F436" s="21">
        <v>0.135</v>
      </c>
      <c r="G436" s="21">
        <v>0.2</v>
      </c>
      <c r="H436" s="21"/>
      <c r="I436" s="27"/>
      <c r="J436" s="23"/>
      <c r="K436" s="24" t="s">
        <v>3521</v>
      </c>
      <c r="L436" s="27"/>
    </row>
    <row r="437">
      <c r="A437" s="73" t="s">
        <v>5702</v>
      </c>
      <c r="B437" s="24" t="s">
        <v>3460</v>
      </c>
      <c r="C437" s="21" t="s">
        <v>3458</v>
      </c>
      <c r="D437" s="21" t="s">
        <v>3458</v>
      </c>
      <c r="E437" s="21">
        <v>0.05</v>
      </c>
      <c r="F437" s="21">
        <v>0.08</v>
      </c>
      <c r="G437" s="21">
        <v>0.22</v>
      </c>
      <c r="H437" s="21"/>
      <c r="I437" s="27"/>
      <c r="J437" s="23"/>
      <c r="K437" s="24" t="s">
        <v>3455</v>
      </c>
      <c r="L437" s="27"/>
    </row>
    <row r="438">
      <c r="A438" s="73" t="s">
        <v>5703</v>
      </c>
      <c r="B438" s="24" t="s">
        <v>149</v>
      </c>
      <c r="C438" s="21" t="s">
        <v>1631</v>
      </c>
      <c r="D438" s="21" t="s">
        <v>1631</v>
      </c>
      <c r="E438" s="21">
        <v>0.073</v>
      </c>
      <c r="F438" s="21">
        <v>0.073</v>
      </c>
      <c r="G438" s="21">
        <v>0.205</v>
      </c>
      <c r="H438" s="21"/>
      <c r="I438" s="27"/>
      <c r="J438" s="23"/>
      <c r="K438" s="24" t="s">
        <v>1578</v>
      </c>
      <c r="L438" s="27"/>
    </row>
    <row r="439">
      <c r="A439" s="73" t="s">
        <v>5704</v>
      </c>
      <c r="B439" s="24" t="s">
        <v>149</v>
      </c>
      <c r="C439" s="21" t="s">
        <v>1625</v>
      </c>
      <c r="D439" s="21" t="s">
        <v>1625</v>
      </c>
      <c r="E439" s="21">
        <v>0.073</v>
      </c>
      <c r="F439" s="21">
        <v>0.073</v>
      </c>
      <c r="G439" s="21">
        <v>0.205</v>
      </c>
      <c r="H439" s="21"/>
      <c r="I439" s="27"/>
      <c r="J439" s="23"/>
      <c r="K439" s="24" t="s">
        <v>1578</v>
      </c>
      <c r="L439" s="27"/>
    </row>
    <row r="440">
      <c r="A440" s="73" t="s">
        <v>5705</v>
      </c>
      <c r="B440" s="24" t="s">
        <v>149</v>
      </c>
      <c r="C440" s="21" t="s">
        <v>1619</v>
      </c>
      <c r="D440" s="21" t="s">
        <v>1619</v>
      </c>
      <c r="E440" s="21">
        <v>0.02</v>
      </c>
      <c r="F440" s="21">
        <v>0.07</v>
      </c>
      <c r="G440" s="21">
        <v>0.205</v>
      </c>
      <c r="H440" s="21"/>
      <c r="I440" s="27"/>
      <c r="J440" s="23"/>
      <c r="K440" s="24" t="s">
        <v>1578</v>
      </c>
      <c r="L440" s="27"/>
    </row>
    <row r="441">
      <c r="A441" s="73" t="s">
        <v>5706</v>
      </c>
      <c r="B441" s="24" t="s">
        <v>149</v>
      </c>
      <c r="C441" s="21" t="s">
        <v>1613</v>
      </c>
      <c r="D441" s="21" t="s">
        <v>1613</v>
      </c>
      <c r="E441" s="21">
        <v>0.02</v>
      </c>
      <c r="F441" s="21">
        <v>0.073</v>
      </c>
      <c r="G441" s="21">
        <v>0.205</v>
      </c>
      <c r="H441" s="21"/>
      <c r="I441" s="27"/>
      <c r="J441" s="23"/>
      <c r="K441" s="24" t="s">
        <v>1578</v>
      </c>
      <c r="L441" s="27"/>
    </row>
    <row r="442">
      <c r="A442" s="73" t="s">
        <v>5707</v>
      </c>
      <c r="B442" s="24" t="s">
        <v>149</v>
      </c>
      <c r="C442" s="21" t="s">
        <v>1589</v>
      </c>
      <c r="D442" s="21" t="s">
        <v>1589</v>
      </c>
      <c r="E442" s="21">
        <v>0.02</v>
      </c>
      <c r="F442" s="21">
        <v>0.073</v>
      </c>
      <c r="G442" s="21">
        <v>0.205</v>
      </c>
      <c r="H442" s="21"/>
      <c r="I442" s="27"/>
      <c r="J442" s="23"/>
      <c r="K442" s="24" t="s">
        <v>1578</v>
      </c>
      <c r="L442" s="27"/>
    </row>
    <row r="443">
      <c r="A443" s="73" t="s">
        <v>5708</v>
      </c>
      <c r="B443" s="24" t="s">
        <v>149</v>
      </c>
      <c r="C443" s="21" t="s">
        <v>1604</v>
      </c>
      <c r="D443" s="21" t="s">
        <v>1604</v>
      </c>
      <c r="E443" s="21">
        <v>0.02</v>
      </c>
      <c r="F443" s="21">
        <v>0.073</v>
      </c>
      <c r="G443" s="21">
        <v>0.205</v>
      </c>
      <c r="H443" s="21"/>
      <c r="I443" s="27"/>
      <c r="J443" s="23"/>
      <c r="K443" s="24" t="s">
        <v>1578</v>
      </c>
      <c r="L443" s="27"/>
    </row>
    <row r="444">
      <c r="A444" s="73" t="s">
        <v>5709</v>
      </c>
      <c r="B444" s="24" t="s">
        <v>149</v>
      </c>
      <c r="C444" s="21" t="s">
        <v>1631</v>
      </c>
      <c r="D444" s="21" t="s">
        <v>1631</v>
      </c>
      <c r="E444" s="21">
        <v>0.09199999</v>
      </c>
      <c r="F444" s="21">
        <v>0.09199999</v>
      </c>
      <c r="G444" s="21">
        <v>0.3</v>
      </c>
      <c r="H444" s="21"/>
      <c r="I444" s="27"/>
      <c r="J444" s="23"/>
      <c r="K444" s="24" t="s">
        <v>1578</v>
      </c>
      <c r="L444" s="27"/>
    </row>
    <row r="445">
      <c r="A445" s="73" t="s">
        <v>5710</v>
      </c>
      <c r="B445" s="24" t="s">
        <v>149</v>
      </c>
      <c r="C445" s="21" t="s">
        <v>1589</v>
      </c>
      <c r="D445" s="21" t="s">
        <v>1589</v>
      </c>
      <c r="E445" s="21">
        <v>0.09199999</v>
      </c>
      <c r="F445" s="21">
        <v>0.09199999</v>
      </c>
      <c r="G445" s="21">
        <v>0.3</v>
      </c>
      <c r="H445" s="21"/>
      <c r="I445" s="27"/>
      <c r="J445" s="23"/>
      <c r="K445" s="24" t="s">
        <v>1578</v>
      </c>
      <c r="L445" s="27"/>
    </row>
    <row r="446">
      <c r="A446" s="73" t="s">
        <v>5711</v>
      </c>
      <c r="B446" s="24" t="s">
        <v>149</v>
      </c>
      <c r="C446" s="21" t="s">
        <v>1598</v>
      </c>
      <c r="D446" s="21" t="s">
        <v>1598</v>
      </c>
      <c r="E446" s="21">
        <v>0.09199999</v>
      </c>
      <c r="F446" s="21">
        <v>0.09199999</v>
      </c>
      <c r="G446" s="21">
        <v>0.3</v>
      </c>
      <c r="H446" s="21"/>
      <c r="I446" s="27"/>
      <c r="J446" s="23"/>
      <c r="K446" s="24" t="s">
        <v>1578</v>
      </c>
      <c r="L446" s="27"/>
    </row>
    <row r="447">
      <c r="A447" s="73" t="s">
        <v>5712</v>
      </c>
      <c r="B447" s="24" t="s">
        <v>149</v>
      </c>
      <c r="C447" s="21" t="s">
        <v>1604</v>
      </c>
      <c r="D447" s="21" t="s">
        <v>1604</v>
      </c>
      <c r="E447" s="21">
        <v>0.09199999</v>
      </c>
      <c r="F447" s="21">
        <v>0.09199999</v>
      </c>
      <c r="G447" s="21">
        <v>0.3</v>
      </c>
      <c r="H447" s="21"/>
      <c r="I447" s="27"/>
      <c r="J447" s="23"/>
      <c r="K447" s="24" t="s">
        <v>1578</v>
      </c>
      <c r="L447" s="27"/>
    </row>
    <row r="448">
      <c r="A448" s="73" t="s">
        <v>5713</v>
      </c>
      <c r="B448" s="24" t="s">
        <v>149</v>
      </c>
      <c r="C448" s="21" t="s">
        <v>1582</v>
      </c>
      <c r="D448" s="21" t="s">
        <v>1582</v>
      </c>
      <c r="E448" s="21">
        <v>0.09199999</v>
      </c>
      <c r="F448" s="21">
        <v>0.09199999</v>
      </c>
      <c r="G448" s="21">
        <v>0.3</v>
      </c>
      <c r="H448" s="21"/>
      <c r="I448" s="27"/>
      <c r="J448" s="23"/>
      <c r="K448" s="24" t="s">
        <v>1578</v>
      </c>
      <c r="L448" s="27"/>
    </row>
    <row r="449">
      <c r="A449" s="73" t="s">
        <v>5714</v>
      </c>
      <c r="B449" s="24" t="s">
        <v>109</v>
      </c>
      <c r="C449" s="21" t="s">
        <v>1393</v>
      </c>
      <c r="D449" s="21" t="s">
        <v>1393</v>
      </c>
      <c r="E449" s="21">
        <v>0.03</v>
      </c>
      <c r="F449" s="21">
        <v>0.15</v>
      </c>
      <c r="G449" s="21">
        <v>0.175</v>
      </c>
      <c r="H449" s="21"/>
      <c r="I449" s="27"/>
      <c r="J449" s="23"/>
      <c r="K449" s="24" t="s">
        <v>1390</v>
      </c>
      <c r="L449" s="27"/>
    </row>
    <row r="450">
      <c r="A450" s="73" t="s">
        <v>5715</v>
      </c>
      <c r="B450" s="24" t="s">
        <v>109</v>
      </c>
      <c r="C450" s="21" t="s">
        <v>1404</v>
      </c>
      <c r="D450" s="21" t="s">
        <v>1404</v>
      </c>
      <c r="E450" s="21">
        <v>0.03</v>
      </c>
      <c r="F450" s="21">
        <v>0.15</v>
      </c>
      <c r="G450" s="21">
        <v>0.175</v>
      </c>
      <c r="H450" s="21"/>
      <c r="I450" s="27"/>
      <c r="J450" s="23"/>
      <c r="K450" s="24" t="s">
        <v>1390</v>
      </c>
      <c r="L450" s="27"/>
    </row>
    <row r="451">
      <c r="A451" s="73" t="s">
        <v>5716</v>
      </c>
      <c r="B451" s="24" t="s">
        <v>109</v>
      </c>
      <c r="C451" s="21" t="s">
        <v>1399</v>
      </c>
      <c r="D451" s="21" t="s">
        <v>1399</v>
      </c>
      <c r="E451" s="21">
        <v>0.03</v>
      </c>
      <c r="F451" s="21">
        <v>0.15</v>
      </c>
      <c r="G451" s="21">
        <v>0.175</v>
      </c>
      <c r="H451" s="21"/>
      <c r="I451" s="27"/>
      <c r="J451" s="23"/>
      <c r="K451" s="24" t="s">
        <v>1390</v>
      </c>
      <c r="L451" s="27"/>
    </row>
    <row r="452">
      <c r="A452" s="73" t="s">
        <v>5717</v>
      </c>
      <c r="B452" s="24" t="s">
        <v>3470</v>
      </c>
      <c r="C452" s="21" t="s">
        <v>3468</v>
      </c>
      <c r="D452" s="21" t="s">
        <v>3468</v>
      </c>
      <c r="E452" s="21">
        <v>0.075</v>
      </c>
      <c r="F452" s="21">
        <v>0.09999999</v>
      </c>
      <c r="G452" s="21">
        <v>0.09</v>
      </c>
      <c r="H452" s="21"/>
      <c r="I452" s="27"/>
      <c r="J452" s="23"/>
      <c r="K452" s="24" t="s">
        <v>3465</v>
      </c>
      <c r="L452" s="27"/>
    </row>
    <row r="453">
      <c r="A453" s="73" t="s">
        <v>5718</v>
      </c>
      <c r="B453" s="24" t="s">
        <v>3470</v>
      </c>
      <c r="C453" s="21" t="s">
        <v>3483</v>
      </c>
      <c r="D453" s="21" t="s">
        <v>3483</v>
      </c>
      <c r="E453" s="21">
        <v>0.075</v>
      </c>
      <c r="F453" s="21">
        <v>0.09999999</v>
      </c>
      <c r="G453" s="21">
        <v>0.09</v>
      </c>
      <c r="H453" s="21"/>
      <c r="I453" s="27"/>
      <c r="J453" s="23"/>
      <c r="K453" s="24" t="s">
        <v>3465</v>
      </c>
      <c r="L453" s="27"/>
    </row>
    <row r="454">
      <c r="A454" s="73" t="s">
        <v>5719</v>
      </c>
      <c r="B454" s="24" t="s">
        <v>3470</v>
      </c>
      <c r="C454" s="21" t="s">
        <v>3489</v>
      </c>
      <c r="D454" s="21" t="s">
        <v>3489</v>
      </c>
      <c r="E454" s="21">
        <v>0.09999999</v>
      </c>
      <c r="F454" s="21">
        <v>0.09999999</v>
      </c>
      <c r="G454" s="21">
        <v>0.09</v>
      </c>
      <c r="H454" s="21"/>
      <c r="I454" s="27"/>
      <c r="J454" s="23"/>
      <c r="K454" s="24" t="s">
        <v>3465</v>
      </c>
      <c r="L454" s="27"/>
    </row>
    <row r="455">
      <c r="A455" s="73" t="s">
        <v>5720</v>
      </c>
      <c r="B455" s="24" t="s">
        <v>3470</v>
      </c>
      <c r="C455" s="21" t="s">
        <v>3501</v>
      </c>
      <c r="D455" s="21" t="s">
        <v>3501</v>
      </c>
      <c r="E455" s="21">
        <v>0.065</v>
      </c>
      <c r="F455" s="21">
        <v>0.11</v>
      </c>
      <c r="G455" s="21">
        <v>0.09999999</v>
      </c>
      <c r="H455" s="21"/>
      <c r="I455" s="27"/>
      <c r="J455" s="23"/>
      <c r="K455" s="24" t="s">
        <v>3465</v>
      </c>
      <c r="L455" s="27"/>
    </row>
    <row r="456">
      <c r="A456" s="73" t="s">
        <v>5721</v>
      </c>
      <c r="B456" s="24" t="s">
        <v>2311</v>
      </c>
      <c r="C456" s="21" t="s">
        <v>3495</v>
      </c>
      <c r="D456" s="21" t="s">
        <v>3495</v>
      </c>
      <c r="E456" s="21">
        <v>0.075</v>
      </c>
      <c r="F456" s="21">
        <v>0.11</v>
      </c>
      <c r="G456" s="21">
        <v>0.09999999</v>
      </c>
      <c r="H456" s="21"/>
      <c r="I456" s="27"/>
      <c r="J456" s="23"/>
      <c r="K456" s="24" t="s">
        <v>3465</v>
      </c>
      <c r="L456" s="27"/>
    </row>
    <row r="457">
      <c r="A457" s="73" t="s">
        <v>5722</v>
      </c>
      <c r="B457" s="24" t="s">
        <v>109</v>
      </c>
      <c r="C457" s="21" t="s">
        <v>3320</v>
      </c>
      <c r="D457" s="21" t="s">
        <v>3320</v>
      </c>
      <c r="E457" s="21">
        <v>0.04</v>
      </c>
      <c r="F457" s="21">
        <v>0.12</v>
      </c>
      <c r="G457" s="21">
        <v>0.18</v>
      </c>
      <c r="H457" s="21"/>
      <c r="I457" s="27"/>
      <c r="J457" s="23"/>
      <c r="K457" s="24" t="s">
        <v>3317</v>
      </c>
      <c r="L457" s="27"/>
    </row>
    <row r="458">
      <c r="A458" s="73" t="s">
        <v>5723</v>
      </c>
      <c r="B458" s="24" t="s">
        <v>1413</v>
      </c>
      <c r="C458" s="21" t="s">
        <v>1411</v>
      </c>
      <c r="D458" s="21" t="s">
        <v>1411</v>
      </c>
      <c r="E458" s="21">
        <v>0.04</v>
      </c>
      <c r="F458" s="21">
        <v>0.18</v>
      </c>
      <c r="G458" s="21">
        <v>0.215</v>
      </c>
      <c r="H458" s="21"/>
      <c r="I458" s="27"/>
      <c r="J458" s="23"/>
      <c r="K458" s="24" t="s">
        <v>1408</v>
      </c>
      <c r="L458" s="27"/>
    </row>
    <row r="459">
      <c r="A459" s="73" t="s">
        <v>5724</v>
      </c>
      <c r="B459" s="24" t="s">
        <v>1413</v>
      </c>
      <c r="C459" s="21" t="s">
        <v>1424</v>
      </c>
      <c r="D459" s="21" t="s">
        <v>1424</v>
      </c>
      <c r="E459" s="21">
        <v>0.04</v>
      </c>
      <c r="F459" s="21">
        <v>0.18</v>
      </c>
      <c r="G459" s="21">
        <v>0.215</v>
      </c>
      <c r="H459" s="21"/>
      <c r="I459" s="27"/>
      <c r="J459" s="23"/>
      <c r="K459" s="24" t="s">
        <v>1408</v>
      </c>
      <c r="L459" s="27"/>
    </row>
    <row r="460">
      <c r="A460" s="73" t="s">
        <v>5725</v>
      </c>
      <c r="B460" s="24" t="s">
        <v>1413</v>
      </c>
      <c r="C460" s="21" t="s">
        <v>1419</v>
      </c>
      <c r="D460" s="21" t="s">
        <v>1419</v>
      </c>
      <c r="E460" s="21">
        <v>0.04</v>
      </c>
      <c r="F460" s="21">
        <v>0.175</v>
      </c>
      <c r="G460" s="21">
        <v>0.215</v>
      </c>
      <c r="H460" s="21"/>
      <c r="I460" s="27"/>
      <c r="J460" s="23"/>
      <c r="K460" s="24" t="s">
        <v>1408</v>
      </c>
      <c r="L460" s="27"/>
    </row>
    <row r="461">
      <c r="A461" s="73" t="s">
        <v>5726</v>
      </c>
      <c r="B461" s="24" t="s">
        <v>1194</v>
      </c>
      <c r="C461" s="21" t="s">
        <v>1192</v>
      </c>
      <c r="D461" s="21" t="s">
        <v>1192</v>
      </c>
      <c r="E461" s="21">
        <v>0.03</v>
      </c>
      <c r="F461" s="21">
        <v>0.28</v>
      </c>
      <c r="G461" s="21">
        <v>0.128</v>
      </c>
      <c r="H461" s="21"/>
      <c r="I461" s="27"/>
      <c r="J461" s="23"/>
      <c r="K461" s="24" t="s">
        <v>3385</v>
      </c>
      <c r="L461" s="27"/>
    </row>
    <row r="462">
      <c r="A462" s="73" t="s">
        <v>5727</v>
      </c>
      <c r="B462" s="24" t="s">
        <v>501</v>
      </c>
      <c r="C462" s="21" t="s">
        <v>3128</v>
      </c>
      <c r="D462" s="21" t="s">
        <v>3128</v>
      </c>
      <c r="E462" s="21">
        <v>0.05</v>
      </c>
      <c r="F462" s="21">
        <v>0.07</v>
      </c>
      <c r="G462" s="21">
        <v>0.105</v>
      </c>
      <c r="H462" s="21"/>
      <c r="I462" s="27"/>
      <c r="J462" s="23"/>
      <c r="K462" s="24" t="s">
        <v>3385</v>
      </c>
      <c r="L462" s="27"/>
    </row>
    <row r="463">
      <c r="A463" s="73" t="s">
        <v>5728</v>
      </c>
      <c r="B463" s="24" t="s">
        <v>501</v>
      </c>
      <c r="C463" s="21" t="s">
        <v>3395</v>
      </c>
      <c r="D463" s="21" t="s">
        <v>3395</v>
      </c>
      <c r="E463" s="21">
        <v>0.02</v>
      </c>
      <c r="F463" s="21">
        <v>0.145</v>
      </c>
      <c r="G463" s="21">
        <v>0.035</v>
      </c>
      <c r="H463" s="21"/>
      <c r="I463" s="27"/>
      <c r="J463" s="23"/>
      <c r="K463" s="24" t="s">
        <v>3385</v>
      </c>
      <c r="L463" s="27"/>
    </row>
    <row r="464">
      <c r="A464" s="73" t="s">
        <v>5729</v>
      </c>
      <c r="B464" s="24" t="s">
        <v>501</v>
      </c>
      <c r="C464" s="21" t="s">
        <v>3410</v>
      </c>
      <c r="D464" s="21" t="s">
        <v>3410</v>
      </c>
      <c r="E464" s="21">
        <v>0.02</v>
      </c>
      <c r="F464" s="21">
        <v>0.16</v>
      </c>
      <c r="G464" s="21">
        <v>0.035</v>
      </c>
      <c r="H464" s="21"/>
      <c r="I464" s="27"/>
      <c r="J464" s="23"/>
      <c r="K464" s="24" t="s">
        <v>3385</v>
      </c>
      <c r="L464" s="27"/>
    </row>
    <row r="465">
      <c r="A465" s="73" t="s">
        <v>5730</v>
      </c>
      <c r="B465" s="24" t="s">
        <v>501</v>
      </c>
      <c r="C465" s="21" t="s">
        <v>3416</v>
      </c>
      <c r="D465" s="21" t="s">
        <v>3416</v>
      </c>
      <c r="E465" s="21">
        <v>0.02</v>
      </c>
      <c r="F465" s="21">
        <v>0.13</v>
      </c>
      <c r="G465" s="21">
        <v>0.045</v>
      </c>
      <c r="H465" s="21"/>
      <c r="I465" s="27"/>
      <c r="J465" s="23"/>
      <c r="K465" s="24" t="s">
        <v>3385</v>
      </c>
      <c r="L465" s="27"/>
    </row>
    <row r="466">
      <c r="A466" s="73" t="s">
        <v>5731</v>
      </c>
      <c r="B466" s="24" t="s">
        <v>501</v>
      </c>
      <c r="C466" s="21" t="s">
        <v>3422</v>
      </c>
      <c r="D466" s="21" t="s">
        <v>3422</v>
      </c>
      <c r="E466" s="21">
        <v>0.018</v>
      </c>
      <c r="F466" s="21">
        <v>0.16</v>
      </c>
      <c r="G466" s="21">
        <v>0.035</v>
      </c>
      <c r="H466" s="21"/>
      <c r="I466" s="27"/>
      <c r="J466" s="23"/>
      <c r="K466" s="24" t="s">
        <v>3385</v>
      </c>
      <c r="L466" s="27"/>
    </row>
    <row r="467">
      <c r="A467" s="73" t="s">
        <v>5732</v>
      </c>
      <c r="B467" s="24" t="s">
        <v>501</v>
      </c>
      <c r="C467" s="21" t="s">
        <v>3388</v>
      </c>
      <c r="D467" s="21" t="s">
        <v>3388</v>
      </c>
      <c r="E467" s="21">
        <v>0.017</v>
      </c>
      <c r="F467" s="21">
        <v>0.16</v>
      </c>
      <c r="G467" s="21">
        <v>0.035</v>
      </c>
      <c r="H467" s="21"/>
      <c r="I467" s="27"/>
      <c r="J467" s="23"/>
      <c r="K467" s="24" t="s">
        <v>3385</v>
      </c>
      <c r="L467" s="27"/>
    </row>
    <row r="468">
      <c r="A468" s="73">
        <v>7.290112348241E12</v>
      </c>
      <c r="B468" s="24" t="s">
        <v>501</v>
      </c>
      <c r="C468" s="21" t="s">
        <v>3434</v>
      </c>
      <c r="D468" s="21" t="s">
        <v>3434</v>
      </c>
      <c r="E468" s="21">
        <v>0.017</v>
      </c>
      <c r="F468" s="21">
        <v>0.16</v>
      </c>
      <c r="G468" s="21">
        <v>0.035</v>
      </c>
      <c r="H468" s="21"/>
      <c r="I468" s="27"/>
      <c r="J468" s="23"/>
      <c r="K468" s="24" t="s">
        <v>3385</v>
      </c>
      <c r="L468" s="27"/>
    </row>
    <row r="469">
      <c r="A469" s="73" t="s">
        <v>5733</v>
      </c>
      <c r="B469" s="24" t="s">
        <v>501</v>
      </c>
      <c r="C469" s="21" t="s">
        <v>3428</v>
      </c>
      <c r="D469" s="21" t="s">
        <v>3428</v>
      </c>
      <c r="E469" s="21">
        <v>0.017</v>
      </c>
      <c r="F469" s="21">
        <v>0.16</v>
      </c>
      <c r="G469" s="21">
        <v>0.035</v>
      </c>
      <c r="H469" s="21"/>
      <c r="I469" s="27"/>
      <c r="J469" s="23"/>
      <c r="K469" s="24" t="s">
        <v>3385</v>
      </c>
      <c r="L469" s="27"/>
    </row>
    <row r="470">
      <c r="A470" s="73" t="s">
        <v>5734</v>
      </c>
      <c r="B470" s="24" t="s">
        <v>2364</v>
      </c>
      <c r="C470" s="21" t="s">
        <v>3403</v>
      </c>
      <c r="D470" s="21" t="s">
        <v>3403</v>
      </c>
      <c r="E470" s="21">
        <v>0.03</v>
      </c>
      <c r="F470" s="21">
        <v>0.265</v>
      </c>
      <c r="G470" s="21">
        <v>0.09</v>
      </c>
      <c r="H470" s="21"/>
      <c r="I470" s="27"/>
      <c r="J470" s="23"/>
      <c r="K470" s="24" t="s">
        <v>3385</v>
      </c>
      <c r="L470" s="27"/>
    </row>
    <row r="471">
      <c r="A471" s="73" t="s">
        <v>5735</v>
      </c>
      <c r="B471" s="24" t="s">
        <v>814</v>
      </c>
      <c r="C471" s="21" t="s">
        <v>3352</v>
      </c>
      <c r="D471" s="21" t="s">
        <v>3352</v>
      </c>
      <c r="E471" s="21">
        <v>0.065</v>
      </c>
      <c r="F471" s="21">
        <v>0.065</v>
      </c>
      <c r="G471" s="21">
        <v>0.24</v>
      </c>
      <c r="H471" s="21"/>
      <c r="I471" s="27"/>
      <c r="J471" s="23"/>
      <c r="K471" s="24" t="s">
        <v>3325</v>
      </c>
      <c r="L471" s="27"/>
    </row>
    <row r="472">
      <c r="A472" s="73" t="s">
        <v>5736</v>
      </c>
      <c r="B472" s="24" t="s">
        <v>814</v>
      </c>
      <c r="C472" s="21" t="s">
        <v>3340</v>
      </c>
      <c r="D472" s="21" t="s">
        <v>3340</v>
      </c>
      <c r="E472" s="21">
        <v>0.057</v>
      </c>
      <c r="F472" s="21">
        <v>0.057</v>
      </c>
      <c r="G472" s="21">
        <v>0.14</v>
      </c>
      <c r="H472" s="21"/>
      <c r="I472" s="27"/>
      <c r="J472" s="23"/>
      <c r="K472" s="24" t="s">
        <v>3325</v>
      </c>
      <c r="L472" s="27"/>
    </row>
    <row r="473">
      <c r="A473" s="73" t="s">
        <v>5737</v>
      </c>
      <c r="B473" s="24" t="s">
        <v>814</v>
      </c>
      <c r="C473" s="21" t="s">
        <v>3358</v>
      </c>
      <c r="D473" s="21" t="s">
        <v>3358</v>
      </c>
      <c r="E473" s="21">
        <v>0.057</v>
      </c>
      <c r="F473" s="21">
        <v>0.057</v>
      </c>
      <c r="G473" s="21">
        <v>0.14</v>
      </c>
      <c r="H473" s="21"/>
      <c r="I473" s="27"/>
      <c r="J473" s="23"/>
      <c r="K473" s="24" t="s">
        <v>3325</v>
      </c>
      <c r="L473" s="27"/>
    </row>
    <row r="474">
      <c r="A474" s="73" t="s">
        <v>5738</v>
      </c>
      <c r="B474" s="24" t="s">
        <v>814</v>
      </c>
      <c r="C474" s="21" t="s">
        <v>3328</v>
      </c>
      <c r="D474" s="21" t="s">
        <v>3328</v>
      </c>
      <c r="E474" s="21">
        <v>0.08</v>
      </c>
      <c r="F474" s="21">
        <v>0.08</v>
      </c>
      <c r="G474" s="21">
        <v>0.33</v>
      </c>
      <c r="H474" s="21"/>
      <c r="I474" s="27"/>
      <c r="J474" s="23"/>
      <c r="K474" s="24" t="s">
        <v>3325</v>
      </c>
      <c r="L474" s="27"/>
    </row>
    <row r="475">
      <c r="A475" s="73" t="s">
        <v>5739</v>
      </c>
      <c r="B475" s="24" t="s">
        <v>799</v>
      </c>
      <c r="C475" s="21" t="s">
        <v>3346</v>
      </c>
      <c r="D475" s="21" t="s">
        <v>3346</v>
      </c>
      <c r="E475" s="21">
        <v>0.08</v>
      </c>
      <c r="F475" s="21">
        <v>0.08</v>
      </c>
      <c r="G475" s="21">
        <v>0.33</v>
      </c>
      <c r="H475" s="21"/>
      <c r="I475" s="27"/>
      <c r="J475" s="23"/>
      <c r="K475" s="24" t="s">
        <v>3325</v>
      </c>
      <c r="L475" s="27"/>
    </row>
    <row r="476">
      <c r="A476" s="73" t="s">
        <v>5740</v>
      </c>
      <c r="B476" s="24" t="s">
        <v>799</v>
      </c>
      <c r="C476" s="21" t="s">
        <v>3334</v>
      </c>
      <c r="D476" s="21" t="s">
        <v>3334</v>
      </c>
      <c r="E476" s="21">
        <v>0.065</v>
      </c>
      <c r="F476" s="21">
        <v>0.065</v>
      </c>
      <c r="G476" s="21">
        <v>0.24</v>
      </c>
      <c r="H476" s="21"/>
      <c r="I476" s="27"/>
      <c r="J476" s="23"/>
      <c r="K476" s="24" t="s">
        <v>3325</v>
      </c>
      <c r="L476" s="27"/>
    </row>
    <row r="477">
      <c r="A477" s="73" t="s">
        <v>5741</v>
      </c>
      <c r="B477" s="24" t="s">
        <v>718</v>
      </c>
      <c r="C477" s="21" t="s">
        <v>1517</v>
      </c>
      <c r="D477" s="21" t="s">
        <v>1517</v>
      </c>
      <c r="E477" s="21">
        <v>0.066</v>
      </c>
      <c r="F477" s="21">
        <v>0.066</v>
      </c>
      <c r="G477" s="21">
        <v>0.202</v>
      </c>
      <c r="H477" s="21"/>
      <c r="I477" s="27"/>
      <c r="J477" s="23"/>
      <c r="K477" s="24" t="s">
        <v>1513</v>
      </c>
      <c r="L477" s="27"/>
    </row>
    <row r="478">
      <c r="A478" s="73" t="s">
        <v>5742</v>
      </c>
      <c r="B478" s="24" t="s">
        <v>718</v>
      </c>
      <c r="C478" s="21" t="s">
        <v>1538</v>
      </c>
      <c r="D478" s="21" t="s">
        <v>1538</v>
      </c>
      <c r="E478" s="21">
        <v>0.066</v>
      </c>
      <c r="F478" s="21">
        <v>0.066</v>
      </c>
      <c r="G478" s="21">
        <v>0.202</v>
      </c>
      <c r="H478" s="21"/>
      <c r="I478" s="27"/>
      <c r="J478" s="23"/>
      <c r="K478" s="24" t="s">
        <v>1513</v>
      </c>
      <c r="L478" s="27"/>
    </row>
    <row r="479">
      <c r="A479" s="73" t="s">
        <v>5743</v>
      </c>
      <c r="B479" s="24" t="s">
        <v>718</v>
      </c>
      <c r="C479" s="21" t="s">
        <v>1524</v>
      </c>
      <c r="D479" s="21" t="s">
        <v>1524</v>
      </c>
      <c r="E479" s="21">
        <v>0.0955</v>
      </c>
      <c r="F479" s="21">
        <v>0.0955</v>
      </c>
      <c r="G479" s="21">
        <v>0.278</v>
      </c>
      <c r="H479" s="21"/>
      <c r="I479" s="27"/>
      <c r="J479" s="23"/>
      <c r="K479" s="24" t="s">
        <v>1513</v>
      </c>
      <c r="L479" s="27"/>
    </row>
    <row r="480">
      <c r="A480" s="73" t="s">
        <v>5744</v>
      </c>
      <c r="B480" s="24" t="s">
        <v>718</v>
      </c>
      <c r="C480" s="21" t="s">
        <v>1544</v>
      </c>
      <c r="D480" s="21" t="s">
        <v>1544</v>
      </c>
      <c r="E480" s="21">
        <v>0.0955</v>
      </c>
      <c r="F480" s="21">
        <v>0.0955</v>
      </c>
      <c r="G480" s="21">
        <v>0.278</v>
      </c>
      <c r="H480" s="21"/>
      <c r="I480" s="27"/>
      <c r="J480" s="23"/>
      <c r="K480" s="24" t="s">
        <v>1513</v>
      </c>
      <c r="L480" s="27"/>
    </row>
    <row r="481">
      <c r="A481" s="73" t="s">
        <v>5745</v>
      </c>
      <c r="B481" s="24" t="s">
        <v>718</v>
      </c>
      <c r="C481" s="21" t="s">
        <v>1532</v>
      </c>
      <c r="D481" s="21" t="s">
        <v>1532</v>
      </c>
      <c r="E481" s="21">
        <v>0.0955</v>
      </c>
      <c r="F481" s="21">
        <v>0.0955</v>
      </c>
      <c r="G481" s="21">
        <v>0.278</v>
      </c>
      <c r="H481" s="21"/>
      <c r="I481" s="27"/>
      <c r="J481" s="23"/>
      <c r="K481" s="24" t="s">
        <v>1513</v>
      </c>
      <c r="L481" s="27"/>
    </row>
    <row r="482">
      <c r="A482" s="73" t="s">
        <v>5746</v>
      </c>
      <c r="B482" s="24" t="s">
        <v>718</v>
      </c>
      <c r="C482" s="21" t="s">
        <v>1561</v>
      </c>
      <c r="D482" s="21" t="s">
        <v>1561</v>
      </c>
      <c r="E482" s="21">
        <v>0.065</v>
      </c>
      <c r="F482" s="21">
        <v>0.065</v>
      </c>
      <c r="G482" s="21">
        <v>0.153</v>
      </c>
      <c r="H482" s="21"/>
      <c r="I482" s="27"/>
      <c r="J482" s="23"/>
      <c r="K482" s="24" t="s">
        <v>1549</v>
      </c>
      <c r="L482" s="27"/>
    </row>
    <row r="483">
      <c r="A483" s="73" t="s">
        <v>5747</v>
      </c>
      <c r="B483" s="24" t="s">
        <v>1555</v>
      </c>
      <c r="C483" s="21" t="s">
        <v>1567</v>
      </c>
      <c r="D483" s="21" t="s">
        <v>1567</v>
      </c>
      <c r="E483" s="21">
        <v>0.065</v>
      </c>
      <c r="F483" s="21">
        <v>0.065</v>
      </c>
      <c r="G483" s="21">
        <v>0.153</v>
      </c>
      <c r="H483" s="21"/>
      <c r="I483" s="27"/>
      <c r="J483" s="23"/>
      <c r="K483" s="24" t="s">
        <v>1549</v>
      </c>
      <c r="L483" s="27"/>
    </row>
    <row r="484">
      <c r="A484" s="73" t="s">
        <v>5748</v>
      </c>
      <c r="B484" s="24" t="s">
        <v>1555</v>
      </c>
      <c r="C484" s="21" t="s">
        <v>1553</v>
      </c>
      <c r="D484" s="21" t="s">
        <v>1553</v>
      </c>
      <c r="E484" s="21">
        <v>0.065</v>
      </c>
      <c r="F484" s="21">
        <v>0.065</v>
      </c>
      <c r="G484" s="21">
        <v>0.153</v>
      </c>
      <c r="H484" s="21"/>
      <c r="I484" s="27"/>
      <c r="J484" s="23"/>
      <c r="K484" s="24" t="s">
        <v>1549</v>
      </c>
      <c r="L484" s="27"/>
    </row>
    <row r="485">
      <c r="A485" s="73" t="s">
        <v>5749</v>
      </c>
      <c r="B485" s="24" t="s">
        <v>1555</v>
      </c>
      <c r="C485" s="21" t="s">
        <v>1573</v>
      </c>
      <c r="D485" s="21" t="s">
        <v>1573</v>
      </c>
      <c r="E485" s="21">
        <v>0.065</v>
      </c>
      <c r="F485" s="21">
        <v>0.065</v>
      </c>
      <c r="G485" s="21">
        <v>0.153</v>
      </c>
      <c r="H485" s="21"/>
      <c r="I485" s="27"/>
      <c r="J485" s="23"/>
      <c r="K485" s="24" t="s">
        <v>1549</v>
      </c>
      <c r="L485" s="27"/>
    </row>
    <row r="486">
      <c r="A486" s="73" t="s">
        <v>5750</v>
      </c>
      <c r="B486" s="24" t="s">
        <v>1507</v>
      </c>
      <c r="C486" s="21" t="s">
        <v>1505</v>
      </c>
      <c r="D486" s="21" t="s">
        <v>1505</v>
      </c>
      <c r="E486" s="21">
        <v>0.075</v>
      </c>
      <c r="F486" s="21">
        <v>0.063</v>
      </c>
      <c r="G486" s="21">
        <v>0.15</v>
      </c>
      <c r="H486" s="21"/>
      <c r="I486" s="27"/>
      <c r="J486" s="23"/>
      <c r="K486" s="24" t="s">
        <v>1502</v>
      </c>
      <c r="L486" s="27"/>
    </row>
    <row r="487">
      <c r="A487" s="73" t="s">
        <v>5751</v>
      </c>
      <c r="B487" s="24" t="s">
        <v>3746</v>
      </c>
      <c r="C487" s="21" t="s">
        <v>3759</v>
      </c>
      <c r="D487" s="21" t="s">
        <v>3759</v>
      </c>
      <c r="E487" s="21">
        <v>0.07</v>
      </c>
      <c r="F487" s="21">
        <v>0.07</v>
      </c>
      <c r="G487" s="21">
        <v>0.18</v>
      </c>
      <c r="H487" s="21"/>
      <c r="I487" s="27"/>
      <c r="J487" s="23"/>
      <c r="K487" s="24" t="s">
        <v>3726</v>
      </c>
      <c r="L487" s="27"/>
    </row>
    <row r="488">
      <c r="A488" s="73" t="s">
        <v>5752</v>
      </c>
      <c r="B488" s="24" t="s">
        <v>3746</v>
      </c>
      <c r="C488" s="21" t="s">
        <v>3753</v>
      </c>
      <c r="D488" s="21" t="s">
        <v>3753</v>
      </c>
      <c r="E488" s="21">
        <v>0.07</v>
      </c>
      <c r="F488" s="21">
        <v>0.07</v>
      </c>
      <c r="G488" s="21">
        <v>0.18</v>
      </c>
      <c r="H488" s="21"/>
      <c r="I488" s="27"/>
      <c r="J488" s="23"/>
      <c r="K488" s="24" t="s">
        <v>3726</v>
      </c>
      <c r="L488" s="27"/>
    </row>
    <row r="489">
      <c r="A489" s="73" t="s">
        <v>5753</v>
      </c>
      <c r="B489" s="24" t="s">
        <v>3746</v>
      </c>
      <c r="C489" s="21" t="s">
        <v>3744</v>
      </c>
      <c r="D489" s="21" t="s">
        <v>3744</v>
      </c>
      <c r="E489" s="21">
        <v>0.07</v>
      </c>
      <c r="F489" s="21">
        <v>0.07</v>
      </c>
      <c r="G489" s="21">
        <v>0.18</v>
      </c>
      <c r="H489" s="21"/>
      <c r="I489" s="27"/>
      <c r="J489" s="23"/>
      <c r="K489" s="24" t="s">
        <v>3726</v>
      </c>
      <c r="L489" s="27"/>
    </row>
    <row r="490">
      <c r="A490" s="73" t="s">
        <v>5754</v>
      </c>
      <c r="B490" s="24" t="s">
        <v>3738</v>
      </c>
      <c r="C490" s="21" t="s">
        <v>3771</v>
      </c>
      <c r="D490" s="21" t="s">
        <v>3771</v>
      </c>
      <c r="E490" s="21">
        <v>0.053</v>
      </c>
      <c r="F490" s="21">
        <v>0.07</v>
      </c>
      <c r="G490" s="21">
        <v>0.19</v>
      </c>
      <c r="H490" s="21"/>
      <c r="I490" s="27"/>
      <c r="J490" s="23"/>
      <c r="K490" s="24" t="s">
        <v>3726</v>
      </c>
      <c r="L490" s="27"/>
    </row>
    <row r="491">
      <c r="A491" s="73" t="s">
        <v>5755</v>
      </c>
      <c r="B491" s="24" t="s">
        <v>3738</v>
      </c>
      <c r="C491" s="21" t="s">
        <v>3765</v>
      </c>
      <c r="D491" s="21" t="s">
        <v>3765</v>
      </c>
      <c r="E491" s="21">
        <v>0.053</v>
      </c>
      <c r="F491" s="21">
        <v>0.07</v>
      </c>
      <c r="G491" s="21">
        <v>0.19</v>
      </c>
      <c r="H491" s="21"/>
      <c r="I491" s="27"/>
      <c r="J491" s="23"/>
      <c r="K491" s="24" t="s">
        <v>3726</v>
      </c>
      <c r="L491" s="27"/>
    </row>
    <row r="492">
      <c r="A492" s="73" t="s">
        <v>5756</v>
      </c>
      <c r="B492" s="24" t="s">
        <v>3738</v>
      </c>
      <c r="C492" s="21" t="s">
        <v>3736</v>
      </c>
      <c r="D492" s="21" t="s">
        <v>3736</v>
      </c>
      <c r="E492" s="21">
        <v>0.053</v>
      </c>
      <c r="F492" s="21">
        <v>0.07</v>
      </c>
      <c r="G492" s="21">
        <v>0.19</v>
      </c>
      <c r="H492" s="21"/>
      <c r="I492" s="27"/>
      <c r="J492" s="23"/>
      <c r="K492" s="24" t="s">
        <v>3726</v>
      </c>
      <c r="L492" s="27"/>
    </row>
    <row r="493">
      <c r="A493" s="73" t="s">
        <v>5757</v>
      </c>
      <c r="B493" s="24" t="s">
        <v>718</v>
      </c>
      <c r="C493" s="21" t="s">
        <v>3795</v>
      </c>
      <c r="D493" s="21" t="s">
        <v>3795</v>
      </c>
      <c r="E493" s="21">
        <v>0.06</v>
      </c>
      <c r="F493" s="21">
        <v>0.06</v>
      </c>
      <c r="G493" s="21">
        <v>0.193</v>
      </c>
      <c r="H493" s="21"/>
      <c r="I493" s="27"/>
      <c r="J493" s="23"/>
      <c r="K493" s="24" t="s">
        <v>3726</v>
      </c>
      <c r="L493" s="27"/>
    </row>
    <row r="494">
      <c r="A494" s="73" t="s">
        <v>5758</v>
      </c>
      <c r="B494" s="24" t="s">
        <v>718</v>
      </c>
      <c r="C494" s="21" t="s">
        <v>3819</v>
      </c>
      <c r="D494" s="21" t="s">
        <v>3819</v>
      </c>
      <c r="E494" s="21">
        <v>0.06</v>
      </c>
      <c r="F494" s="21">
        <v>0.06</v>
      </c>
      <c r="G494" s="21">
        <v>0.193</v>
      </c>
      <c r="H494" s="21"/>
      <c r="I494" s="27"/>
      <c r="J494" s="23"/>
      <c r="K494" s="24" t="s">
        <v>3726</v>
      </c>
      <c r="L494" s="27"/>
    </row>
    <row r="495">
      <c r="A495" s="73" t="s">
        <v>5759</v>
      </c>
      <c r="B495" s="24" t="s">
        <v>718</v>
      </c>
      <c r="C495" s="21" t="s">
        <v>3813</v>
      </c>
      <c r="D495" s="21" t="s">
        <v>3813</v>
      </c>
      <c r="E495" s="21">
        <v>0.06</v>
      </c>
      <c r="F495" s="21">
        <v>0.06</v>
      </c>
      <c r="G495" s="21">
        <v>0.193</v>
      </c>
      <c r="H495" s="21"/>
      <c r="I495" s="27"/>
      <c r="J495" s="23"/>
      <c r="K495" s="24" t="s">
        <v>3726</v>
      </c>
      <c r="L495" s="27"/>
    </row>
    <row r="496">
      <c r="A496" s="73" t="s">
        <v>5760</v>
      </c>
      <c r="B496" s="24" t="s">
        <v>718</v>
      </c>
      <c r="C496" s="21" t="s">
        <v>3825</v>
      </c>
      <c r="D496" s="21" t="s">
        <v>3825</v>
      </c>
      <c r="E496" s="21">
        <v>0.06</v>
      </c>
      <c r="F496" s="21">
        <v>0.06</v>
      </c>
      <c r="G496" s="21">
        <v>0.193</v>
      </c>
      <c r="H496" s="21"/>
      <c r="I496" s="27"/>
      <c r="J496" s="23"/>
      <c r="K496" s="24" t="s">
        <v>3726</v>
      </c>
      <c r="L496" s="27"/>
    </row>
    <row r="497">
      <c r="A497" s="73" t="s">
        <v>5761</v>
      </c>
      <c r="B497" s="24" t="s">
        <v>718</v>
      </c>
      <c r="C497" s="21" t="s">
        <v>3789</v>
      </c>
      <c r="D497" s="21" t="s">
        <v>3789</v>
      </c>
      <c r="E497" s="21">
        <v>0.08</v>
      </c>
      <c r="F497" s="21">
        <v>0.08</v>
      </c>
      <c r="G497" s="21">
        <v>0.3</v>
      </c>
      <c r="H497" s="21"/>
      <c r="I497" s="27"/>
      <c r="J497" s="23"/>
      <c r="K497" s="24" t="s">
        <v>3726</v>
      </c>
      <c r="L497" s="27"/>
    </row>
    <row r="498">
      <c r="A498" s="73" t="s">
        <v>5762</v>
      </c>
      <c r="B498" s="24" t="s">
        <v>718</v>
      </c>
      <c r="C498" s="21" t="s">
        <v>3801</v>
      </c>
      <c r="D498" s="21" t="s">
        <v>3801</v>
      </c>
      <c r="E498" s="21">
        <v>0.08</v>
      </c>
      <c r="F498" s="21">
        <v>0.08</v>
      </c>
      <c r="G498" s="21">
        <v>0.3</v>
      </c>
      <c r="H498" s="21"/>
      <c r="I498" s="27"/>
      <c r="J498" s="23"/>
      <c r="K498" s="24" t="s">
        <v>3726</v>
      </c>
      <c r="L498" s="27"/>
    </row>
    <row r="499">
      <c r="A499" s="73" t="s">
        <v>5763</v>
      </c>
      <c r="B499" s="24" t="s">
        <v>718</v>
      </c>
      <c r="C499" s="21" t="s">
        <v>3777</v>
      </c>
      <c r="D499" s="21" t="s">
        <v>3777</v>
      </c>
      <c r="E499" s="21">
        <v>0.08</v>
      </c>
      <c r="F499" s="21">
        <v>0.08</v>
      </c>
      <c r="G499" s="21">
        <v>0.3</v>
      </c>
      <c r="H499" s="21"/>
      <c r="I499" s="27"/>
      <c r="J499" s="23"/>
      <c r="K499" s="24" t="s">
        <v>3726</v>
      </c>
      <c r="L499" s="27"/>
    </row>
    <row r="500">
      <c r="A500" s="73" t="s">
        <v>5764</v>
      </c>
      <c r="B500" s="24" t="s">
        <v>718</v>
      </c>
      <c r="C500" s="21" t="s">
        <v>3831</v>
      </c>
      <c r="D500" s="21" t="s">
        <v>3831</v>
      </c>
      <c r="E500" s="21">
        <v>0.08</v>
      </c>
      <c r="F500" s="21">
        <v>0.08</v>
      </c>
      <c r="G500" s="21">
        <v>0.3</v>
      </c>
      <c r="H500" s="21"/>
      <c r="I500" s="27"/>
      <c r="J500" s="23"/>
      <c r="K500" s="24" t="s">
        <v>3726</v>
      </c>
      <c r="L500" s="27"/>
    </row>
    <row r="501">
      <c r="A501" s="73" t="s">
        <v>5765</v>
      </c>
      <c r="B501" s="24" t="s">
        <v>718</v>
      </c>
      <c r="C501" s="21" t="s">
        <v>3807</v>
      </c>
      <c r="D501" s="21" t="s">
        <v>3807</v>
      </c>
      <c r="E501" s="21">
        <v>0.08</v>
      </c>
      <c r="F501" s="21">
        <v>0.08</v>
      </c>
      <c r="G501" s="21">
        <v>0.3</v>
      </c>
      <c r="H501" s="21"/>
      <c r="I501" s="27"/>
      <c r="J501" s="23"/>
      <c r="K501" s="24" t="s">
        <v>3726</v>
      </c>
      <c r="L501" s="27"/>
    </row>
    <row r="502">
      <c r="A502" s="73" t="s">
        <v>5766</v>
      </c>
      <c r="B502" s="24" t="s">
        <v>718</v>
      </c>
      <c r="C502" s="21" t="s">
        <v>3730</v>
      </c>
      <c r="D502" s="21" t="s">
        <v>3730</v>
      </c>
      <c r="E502" s="21">
        <v>0.08</v>
      </c>
      <c r="F502" s="21">
        <v>0.08</v>
      </c>
      <c r="G502" s="21">
        <v>0.3</v>
      </c>
      <c r="H502" s="21"/>
      <c r="I502" s="27"/>
      <c r="J502" s="23"/>
      <c r="K502" s="24" t="s">
        <v>3726</v>
      </c>
      <c r="L502" s="27"/>
    </row>
    <row r="503">
      <c r="A503" s="73" t="s">
        <v>5767</v>
      </c>
      <c r="B503" s="24" t="s">
        <v>2364</v>
      </c>
      <c r="C503" s="21" t="s">
        <v>3783</v>
      </c>
      <c r="D503" s="21" t="s">
        <v>3783</v>
      </c>
      <c r="E503" s="21">
        <v>0.06</v>
      </c>
      <c r="F503" s="21">
        <v>0.06</v>
      </c>
      <c r="G503" s="21">
        <v>0.193</v>
      </c>
      <c r="H503" s="21"/>
      <c r="I503" s="27"/>
      <c r="J503" s="23"/>
      <c r="K503" s="24" t="s">
        <v>3726</v>
      </c>
      <c r="L503" s="27"/>
    </row>
    <row r="504">
      <c r="A504" s="73" t="s">
        <v>5768</v>
      </c>
      <c r="B504" s="24" t="s">
        <v>626</v>
      </c>
      <c r="C504" s="21" t="s">
        <v>1490</v>
      </c>
      <c r="D504" s="21" t="s">
        <v>1490</v>
      </c>
      <c r="E504" s="21">
        <v>0.015</v>
      </c>
      <c r="F504" s="21">
        <v>0.093</v>
      </c>
      <c r="G504" s="21">
        <v>0.175</v>
      </c>
      <c r="H504" s="21"/>
      <c r="I504" s="27"/>
      <c r="J504" s="23"/>
      <c r="K504" s="24" t="s">
        <v>1472</v>
      </c>
      <c r="L504" s="27"/>
    </row>
    <row r="505">
      <c r="A505" s="73" t="s">
        <v>5769</v>
      </c>
      <c r="B505" s="24" t="s">
        <v>626</v>
      </c>
      <c r="C505" s="21" t="s">
        <v>1475</v>
      </c>
      <c r="D505" s="21" t="s">
        <v>1475</v>
      </c>
      <c r="E505" s="21">
        <v>0.008</v>
      </c>
      <c r="F505" s="21">
        <v>0.097</v>
      </c>
      <c r="G505" s="21">
        <v>0.18</v>
      </c>
      <c r="H505" s="21"/>
      <c r="I505" s="27"/>
      <c r="J505" s="23"/>
      <c r="K505" s="24" t="s">
        <v>1472</v>
      </c>
      <c r="L505" s="27"/>
    </row>
    <row r="506">
      <c r="A506" s="73" t="s">
        <v>5770</v>
      </c>
      <c r="B506" s="24" t="s">
        <v>1484</v>
      </c>
      <c r="C506" s="21" t="s">
        <v>1482</v>
      </c>
      <c r="D506" s="21" t="s">
        <v>1482</v>
      </c>
      <c r="E506" s="21">
        <v>0.008</v>
      </c>
      <c r="F506" s="21">
        <v>0.097</v>
      </c>
      <c r="G506" s="21">
        <v>0.18</v>
      </c>
      <c r="H506" s="21"/>
      <c r="I506" s="27"/>
      <c r="J506" s="23"/>
      <c r="K506" s="24" t="s">
        <v>1472</v>
      </c>
      <c r="L506" s="27"/>
    </row>
    <row r="507">
      <c r="A507" s="73" t="s">
        <v>5771</v>
      </c>
      <c r="B507" s="24" t="s">
        <v>1484</v>
      </c>
      <c r="C507" s="21" t="s">
        <v>1496</v>
      </c>
      <c r="D507" s="21" t="s">
        <v>1496</v>
      </c>
      <c r="E507" s="21">
        <v>0.008</v>
      </c>
      <c r="F507" s="21">
        <v>0.097</v>
      </c>
      <c r="G507" s="21">
        <v>0.18</v>
      </c>
      <c r="H507" s="21"/>
      <c r="I507" s="27"/>
      <c r="J507" s="23"/>
      <c r="K507" s="24" t="s">
        <v>1472</v>
      </c>
      <c r="L507" s="27"/>
    </row>
    <row r="508">
      <c r="A508" s="73" t="s">
        <v>5772</v>
      </c>
      <c r="B508" s="24" t="s">
        <v>1385</v>
      </c>
      <c r="C508" s="21" t="s">
        <v>3374</v>
      </c>
      <c r="D508" s="21" t="s">
        <v>3374</v>
      </c>
      <c r="E508" s="21">
        <v>0.057</v>
      </c>
      <c r="F508" s="21">
        <v>0.057</v>
      </c>
      <c r="G508" s="21">
        <v>0.14</v>
      </c>
      <c r="H508" s="21"/>
      <c r="I508" s="27"/>
      <c r="J508" s="23"/>
      <c r="K508" s="24" t="s">
        <v>3363</v>
      </c>
      <c r="L508" s="27"/>
    </row>
    <row r="509">
      <c r="A509" s="73" t="s">
        <v>5773</v>
      </c>
      <c r="B509" s="24" t="s">
        <v>1351</v>
      </c>
      <c r="C509" s="21" t="s">
        <v>3367</v>
      </c>
      <c r="D509" s="21" t="s">
        <v>3367</v>
      </c>
      <c r="E509" s="21">
        <v>0.05</v>
      </c>
      <c r="F509" s="21">
        <v>0.05</v>
      </c>
      <c r="G509" s="21">
        <v>0.135</v>
      </c>
      <c r="H509" s="21"/>
      <c r="I509" s="27"/>
      <c r="J509" s="23"/>
      <c r="K509" s="24" t="s">
        <v>3363</v>
      </c>
      <c r="L509" s="27"/>
    </row>
    <row r="510">
      <c r="A510" s="73" t="s">
        <v>5774</v>
      </c>
      <c r="B510" s="24" t="s">
        <v>1351</v>
      </c>
      <c r="C510" s="21" t="s">
        <v>3380</v>
      </c>
      <c r="D510" s="21" t="s">
        <v>3380</v>
      </c>
      <c r="E510" s="21">
        <v>0.05</v>
      </c>
      <c r="F510" s="21">
        <v>0.05</v>
      </c>
      <c r="G510" s="21">
        <v>0.135</v>
      </c>
      <c r="H510" s="21"/>
      <c r="I510" s="27"/>
      <c r="J510" s="23"/>
      <c r="K510" s="24" t="s">
        <v>3363</v>
      </c>
      <c r="L510" s="27"/>
    </row>
    <row r="511">
      <c r="A511" s="73" t="s">
        <v>5775</v>
      </c>
      <c r="B511" s="24" t="s">
        <v>954</v>
      </c>
      <c r="C511" s="21" t="s">
        <v>3693</v>
      </c>
      <c r="D511" s="21" t="s">
        <v>3693</v>
      </c>
      <c r="E511" s="21">
        <v>0.05</v>
      </c>
      <c r="F511" s="21">
        <v>0.14</v>
      </c>
      <c r="G511" s="21">
        <v>0.22</v>
      </c>
      <c r="H511" s="21"/>
      <c r="I511" s="27"/>
      <c r="J511" s="23"/>
      <c r="K511" s="24" t="s">
        <v>5235</v>
      </c>
      <c r="L511" s="27"/>
    </row>
    <row r="512">
      <c r="A512" s="73" t="s">
        <v>5776</v>
      </c>
      <c r="B512" s="24" t="s">
        <v>954</v>
      </c>
      <c r="C512" s="21" t="s">
        <v>3675</v>
      </c>
      <c r="D512" s="21" t="s">
        <v>3675</v>
      </c>
      <c r="E512" s="21">
        <v>0.05</v>
      </c>
      <c r="F512" s="21">
        <v>0.14</v>
      </c>
      <c r="G512" s="21">
        <v>0.22</v>
      </c>
      <c r="H512" s="21"/>
      <c r="I512" s="27"/>
      <c r="J512" s="23"/>
      <c r="K512" s="24" t="s">
        <v>5235</v>
      </c>
      <c r="L512" s="27"/>
    </row>
    <row r="513">
      <c r="A513" s="73" t="s">
        <v>5777</v>
      </c>
      <c r="B513" s="24" t="s">
        <v>954</v>
      </c>
      <c r="C513" s="21" t="s">
        <v>3619</v>
      </c>
      <c r="D513" s="21" t="s">
        <v>3619</v>
      </c>
      <c r="E513" s="21">
        <v>0.03</v>
      </c>
      <c r="F513" s="21">
        <v>0.15</v>
      </c>
      <c r="G513" s="21">
        <v>0.09999999</v>
      </c>
      <c r="H513" s="21"/>
      <c r="I513" s="27"/>
      <c r="J513" s="23"/>
      <c r="K513" s="24" t="s">
        <v>5235</v>
      </c>
      <c r="L513" s="27"/>
    </row>
    <row r="514">
      <c r="A514" s="73" t="s">
        <v>5778</v>
      </c>
      <c r="B514" s="24" t="s">
        <v>954</v>
      </c>
      <c r="C514" s="21" t="s">
        <v>3638</v>
      </c>
      <c r="D514" s="21" t="s">
        <v>3638</v>
      </c>
      <c r="E514" s="21">
        <v>0.03</v>
      </c>
      <c r="F514" s="21">
        <v>0.12</v>
      </c>
      <c r="G514" s="21">
        <v>0.14</v>
      </c>
      <c r="H514" s="21"/>
      <c r="I514" s="27"/>
      <c r="J514" s="23"/>
      <c r="K514" s="24" t="s">
        <v>5235</v>
      </c>
      <c r="L514" s="27"/>
    </row>
    <row r="515">
      <c r="A515" s="73" t="s">
        <v>5779</v>
      </c>
      <c r="B515" s="24" t="s">
        <v>954</v>
      </c>
      <c r="C515" s="21" t="s">
        <v>3650</v>
      </c>
      <c r="D515" s="21" t="s">
        <v>3650</v>
      </c>
      <c r="E515" s="21">
        <v>0.03</v>
      </c>
      <c r="F515" s="21">
        <v>0.12</v>
      </c>
      <c r="G515" s="21">
        <v>0.14</v>
      </c>
      <c r="H515" s="21"/>
      <c r="I515" s="27"/>
      <c r="J515" s="23"/>
      <c r="K515" s="24" t="s">
        <v>5235</v>
      </c>
      <c r="L515" s="27"/>
    </row>
    <row r="516">
      <c r="A516" s="73" t="s">
        <v>5780</v>
      </c>
      <c r="B516" s="24" t="s">
        <v>954</v>
      </c>
      <c r="C516" s="21" t="s">
        <v>3626</v>
      </c>
      <c r="D516" s="21" t="s">
        <v>3626</v>
      </c>
      <c r="E516" s="21">
        <v>0.03</v>
      </c>
      <c r="F516" s="21">
        <v>0.12</v>
      </c>
      <c r="G516" s="21">
        <v>0.14</v>
      </c>
      <c r="H516" s="21"/>
      <c r="I516" s="27"/>
      <c r="J516" s="23"/>
      <c r="K516" s="24" t="s">
        <v>5235</v>
      </c>
      <c r="L516" s="27"/>
    </row>
    <row r="517">
      <c r="A517" s="73" t="s">
        <v>5781</v>
      </c>
      <c r="B517" s="24" t="s">
        <v>954</v>
      </c>
      <c r="C517" s="21" t="s">
        <v>3656</v>
      </c>
      <c r="D517" s="21" t="s">
        <v>3656</v>
      </c>
      <c r="E517" s="21">
        <v>0.03</v>
      </c>
      <c r="F517" s="21">
        <v>0.15</v>
      </c>
      <c r="G517" s="21">
        <v>0.09999999</v>
      </c>
      <c r="H517" s="21"/>
      <c r="I517" s="27"/>
      <c r="J517" s="23"/>
      <c r="K517" s="24" t="s">
        <v>5235</v>
      </c>
      <c r="L517" s="27"/>
    </row>
    <row r="518">
      <c r="A518" s="73" t="s">
        <v>5782</v>
      </c>
      <c r="B518" s="24" t="s">
        <v>954</v>
      </c>
      <c r="C518" s="21" t="s">
        <v>3632</v>
      </c>
      <c r="D518" s="21" t="s">
        <v>3632</v>
      </c>
      <c r="E518" s="21">
        <v>0.03</v>
      </c>
      <c r="F518" s="21">
        <v>0.13</v>
      </c>
      <c r="G518" s="21">
        <v>0.09</v>
      </c>
      <c r="H518" s="21"/>
      <c r="I518" s="27"/>
      <c r="J518" s="23"/>
      <c r="K518" s="24" t="s">
        <v>5235</v>
      </c>
      <c r="L518" s="27"/>
    </row>
    <row r="519">
      <c r="A519" s="73" t="s">
        <v>5783</v>
      </c>
      <c r="B519" s="24" t="s">
        <v>954</v>
      </c>
      <c r="C519" s="21" t="s">
        <v>3644</v>
      </c>
      <c r="D519" s="21" t="s">
        <v>3644</v>
      </c>
      <c r="E519" s="21">
        <v>0.03</v>
      </c>
      <c r="F519" s="21">
        <v>0.13</v>
      </c>
      <c r="G519" s="21">
        <v>0.09</v>
      </c>
      <c r="H519" s="21"/>
      <c r="I519" s="27"/>
      <c r="J519" s="23"/>
      <c r="K519" s="24" t="s">
        <v>5235</v>
      </c>
      <c r="L519" s="27"/>
    </row>
    <row r="520">
      <c r="A520" s="73" t="s">
        <v>5784</v>
      </c>
      <c r="B520" s="24" t="s">
        <v>954</v>
      </c>
      <c r="C520" s="21" t="s">
        <v>3669</v>
      </c>
      <c r="D520" s="21" t="s">
        <v>3669</v>
      </c>
      <c r="E520" s="21">
        <v>0.05</v>
      </c>
      <c r="F520" s="21">
        <v>0.14</v>
      </c>
      <c r="G520" s="21">
        <v>0.22</v>
      </c>
      <c r="H520" s="21"/>
      <c r="I520" s="27"/>
      <c r="J520" s="23"/>
      <c r="K520" s="24" t="s">
        <v>5235</v>
      </c>
      <c r="L520" s="27"/>
    </row>
    <row r="521">
      <c r="A521" s="73" t="s">
        <v>5785</v>
      </c>
      <c r="B521" s="24" t="s">
        <v>954</v>
      </c>
      <c r="C521" s="21" t="s">
        <v>3663</v>
      </c>
      <c r="D521" s="21" t="s">
        <v>3663</v>
      </c>
      <c r="E521" s="21">
        <v>0.09</v>
      </c>
      <c r="F521" s="21">
        <v>0.09</v>
      </c>
      <c r="G521" s="21">
        <v>0.235</v>
      </c>
      <c r="H521" s="21"/>
      <c r="I521" s="27"/>
      <c r="J521" s="23"/>
      <c r="K521" s="24" t="s">
        <v>5235</v>
      </c>
      <c r="L521" s="27"/>
    </row>
    <row r="522">
      <c r="A522" s="73" t="s">
        <v>5786</v>
      </c>
      <c r="B522" s="24" t="s">
        <v>954</v>
      </c>
      <c r="C522" s="21" t="s">
        <v>3593</v>
      </c>
      <c r="D522" s="21" t="s">
        <v>3593</v>
      </c>
      <c r="E522" s="21">
        <v>0.09999999</v>
      </c>
      <c r="F522" s="21">
        <v>0.09999999</v>
      </c>
      <c r="G522" s="21">
        <v>0.26</v>
      </c>
      <c r="H522" s="21"/>
      <c r="I522" s="27"/>
      <c r="J522" s="23"/>
      <c r="K522" s="24" t="s">
        <v>5239</v>
      </c>
      <c r="L522" s="27"/>
    </row>
    <row r="523">
      <c r="A523" s="73" t="s">
        <v>5787</v>
      </c>
      <c r="B523" s="24" t="s">
        <v>954</v>
      </c>
      <c r="C523" s="21" t="s">
        <v>3586</v>
      </c>
      <c r="D523" s="21" t="s">
        <v>3586</v>
      </c>
      <c r="E523" s="21">
        <v>0.09999999</v>
      </c>
      <c r="F523" s="21">
        <v>0.09999999</v>
      </c>
      <c r="G523" s="21">
        <v>0.26</v>
      </c>
      <c r="H523" s="21"/>
      <c r="I523" s="27"/>
      <c r="J523" s="23"/>
      <c r="K523" s="24" t="s">
        <v>5239</v>
      </c>
      <c r="L523" s="27"/>
    </row>
    <row r="524">
      <c r="A524" s="73" t="s">
        <v>5788</v>
      </c>
      <c r="B524" s="24" t="s">
        <v>954</v>
      </c>
      <c r="C524" s="21" t="s">
        <v>3605</v>
      </c>
      <c r="D524" s="21" t="s">
        <v>3605</v>
      </c>
      <c r="E524" s="21">
        <v>0.09999999</v>
      </c>
      <c r="F524" s="21">
        <v>0.09999999</v>
      </c>
      <c r="G524" s="21">
        <v>0.26</v>
      </c>
      <c r="H524" s="21"/>
      <c r="I524" s="27"/>
      <c r="J524" s="23"/>
      <c r="K524" s="24" t="s">
        <v>5239</v>
      </c>
      <c r="L524" s="27"/>
    </row>
    <row r="525">
      <c r="A525" s="73" t="s">
        <v>5789</v>
      </c>
      <c r="B525" s="24" t="s">
        <v>954</v>
      </c>
      <c r="C525" s="21" t="s">
        <v>3599</v>
      </c>
      <c r="D525" s="21" t="s">
        <v>3599</v>
      </c>
      <c r="E525" s="21">
        <v>0.03</v>
      </c>
      <c r="F525" s="21">
        <v>0.13</v>
      </c>
      <c r="G525" s="21">
        <v>0.18</v>
      </c>
      <c r="H525" s="21"/>
      <c r="I525" s="27"/>
      <c r="J525" s="23"/>
      <c r="K525" s="24" t="s">
        <v>5239</v>
      </c>
      <c r="L525" s="27"/>
    </row>
    <row r="526">
      <c r="A526" s="73" t="s">
        <v>5790</v>
      </c>
      <c r="B526" s="24" t="s">
        <v>954</v>
      </c>
      <c r="C526" s="21" t="s">
        <v>3611</v>
      </c>
      <c r="D526" s="21" t="s">
        <v>3611</v>
      </c>
      <c r="E526" s="21">
        <v>0.03</v>
      </c>
      <c r="F526" s="21">
        <v>0.13</v>
      </c>
      <c r="G526" s="21">
        <v>0.18</v>
      </c>
      <c r="H526" s="21"/>
      <c r="I526" s="27"/>
      <c r="J526" s="23"/>
      <c r="K526" s="24" t="s">
        <v>5239</v>
      </c>
      <c r="L526" s="27"/>
    </row>
    <row r="527">
      <c r="A527" s="73" t="s">
        <v>5791</v>
      </c>
      <c r="B527" s="24" t="s">
        <v>954</v>
      </c>
      <c r="C527" s="21" t="s">
        <v>3709</v>
      </c>
      <c r="D527" s="21" t="s">
        <v>3709</v>
      </c>
      <c r="E527" s="21">
        <v>0.07</v>
      </c>
      <c r="F527" s="21">
        <v>0.09999999</v>
      </c>
      <c r="G527" s="21">
        <v>0.09999999</v>
      </c>
      <c r="H527" s="21"/>
      <c r="I527" s="27"/>
      <c r="J527" s="23"/>
      <c r="K527" s="24" t="s">
        <v>5239</v>
      </c>
      <c r="L527" s="27"/>
    </row>
    <row r="528">
      <c r="A528" s="73" t="s">
        <v>5792</v>
      </c>
      <c r="B528" s="24" t="s">
        <v>718</v>
      </c>
      <c r="C528" s="21" t="s">
        <v>3845</v>
      </c>
      <c r="D528" s="21" t="s">
        <v>3845</v>
      </c>
      <c r="E528" s="21">
        <v>0.045</v>
      </c>
      <c r="F528" s="21">
        <v>0.07</v>
      </c>
      <c r="G528" s="21">
        <v>0.19</v>
      </c>
      <c r="H528" s="21"/>
      <c r="I528" s="27"/>
      <c r="J528" s="23"/>
      <c r="K528" s="24" t="s">
        <v>3842</v>
      </c>
      <c r="L528" s="27"/>
    </row>
    <row r="529">
      <c r="A529" s="73" t="s">
        <v>5793</v>
      </c>
      <c r="B529" s="24" t="s">
        <v>718</v>
      </c>
      <c r="C529" s="21" t="s">
        <v>3857</v>
      </c>
      <c r="D529" s="21" t="s">
        <v>3857</v>
      </c>
      <c r="E529" s="21">
        <v>0.045</v>
      </c>
      <c r="F529" s="21">
        <v>0.07</v>
      </c>
      <c r="G529" s="21">
        <v>0.19</v>
      </c>
      <c r="H529" s="21"/>
      <c r="I529" s="27"/>
      <c r="J529" s="23"/>
      <c r="K529" s="24" t="s">
        <v>3842</v>
      </c>
      <c r="L529" s="27"/>
    </row>
    <row r="530">
      <c r="A530" s="73" t="s">
        <v>5794</v>
      </c>
      <c r="B530" s="24" t="s">
        <v>718</v>
      </c>
      <c r="C530" s="21" t="s">
        <v>3851</v>
      </c>
      <c r="D530" s="21" t="s">
        <v>3851</v>
      </c>
      <c r="E530" s="21">
        <v>0.045</v>
      </c>
      <c r="F530" s="21">
        <v>0.07</v>
      </c>
      <c r="G530" s="21">
        <v>0.19</v>
      </c>
      <c r="H530" s="21"/>
      <c r="I530" s="27"/>
      <c r="J530" s="23"/>
      <c r="K530" s="24" t="s">
        <v>3842</v>
      </c>
      <c r="L530" s="27"/>
    </row>
    <row r="531">
      <c r="A531" s="73" t="s">
        <v>5795</v>
      </c>
      <c r="B531" s="24" t="s">
        <v>109</v>
      </c>
      <c r="C531" s="21" t="s">
        <v>3886</v>
      </c>
      <c r="D531" s="21" t="s">
        <v>3886</v>
      </c>
      <c r="E531" s="21">
        <v>0.08</v>
      </c>
      <c r="F531" s="21">
        <v>0.08</v>
      </c>
      <c r="G531" s="21">
        <v>0.27</v>
      </c>
      <c r="H531" s="21"/>
      <c r="I531" s="27"/>
      <c r="J531" s="23"/>
      <c r="K531" s="24" t="s">
        <v>3862</v>
      </c>
      <c r="L531" s="27"/>
    </row>
    <row r="532">
      <c r="A532" s="73" t="s">
        <v>5796</v>
      </c>
      <c r="B532" s="24" t="s">
        <v>109</v>
      </c>
      <c r="C532" s="21" t="s">
        <v>3891</v>
      </c>
      <c r="D532" s="21" t="s">
        <v>3891</v>
      </c>
      <c r="E532" s="21">
        <v>0.08</v>
      </c>
      <c r="F532" s="21">
        <v>0.08</v>
      </c>
      <c r="G532" s="21">
        <v>0.13</v>
      </c>
      <c r="H532" s="21"/>
      <c r="I532" s="27"/>
      <c r="J532" s="23"/>
      <c r="K532" s="24" t="s">
        <v>3862</v>
      </c>
      <c r="L532" s="27"/>
    </row>
    <row r="533">
      <c r="A533" s="73" t="s">
        <v>5797</v>
      </c>
      <c r="B533" s="24" t="s">
        <v>109</v>
      </c>
      <c r="C533" s="21" t="s">
        <v>3865</v>
      </c>
      <c r="D533" s="21" t="s">
        <v>3865</v>
      </c>
      <c r="E533" s="21">
        <v>0.08</v>
      </c>
      <c r="F533" s="21">
        <v>0.08</v>
      </c>
      <c r="G533" s="21">
        <v>0.27</v>
      </c>
      <c r="H533" s="21"/>
      <c r="I533" s="27"/>
      <c r="J533" s="23"/>
      <c r="K533" s="24" t="s">
        <v>3862</v>
      </c>
      <c r="L533" s="27"/>
    </row>
    <row r="534">
      <c r="A534" s="73" t="s">
        <v>5798</v>
      </c>
      <c r="B534" s="24" t="s">
        <v>109</v>
      </c>
      <c r="C534" s="21" t="s">
        <v>3881</v>
      </c>
      <c r="D534" s="21" t="s">
        <v>3881</v>
      </c>
      <c r="E534" s="21">
        <v>0.08</v>
      </c>
      <c r="F534" s="21">
        <v>0.085</v>
      </c>
      <c r="G534" s="21">
        <v>0.13</v>
      </c>
      <c r="H534" s="21"/>
      <c r="I534" s="27"/>
      <c r="J534" s="23"/>
      <c r="K534" s="24" t="s">
        <v>3862</v>
      </c>
      <c r="L534" s="27"/>
    </row>
    <row r="535">
      <c r="A535" s="73" t="s">
        <v>5799</v>
      </c>
      <c r="B535" s="24" t="s">
        <v>109</v>
      </c>
      <c r="C535" s="21" t="s">
        <v>3876</v>
      </c>
      <c r="D535" s="21" t="s">
        <v>3876</v>
      </c>
      <c r="E535" s="21">
        <v>0.08</v>
      </c>
      <c r="F535" s="21">
        <v>0.08</v>
      </c>
      <c r="G535" s="21">
        <v>0.13</v>
      </c>
      <c r="H535" s="21"/>
      <c r="I535" s="27"/>
      <c r="J535" s="23"/>
      <c r="K535" s="24" t="s">
        <v>3862</v>
      </c>
      <c r="L535" s="27"/>
    </row>
    <row r="536">
      <c r="A536" s="73" t="s">
        <v>5800</v>
      </c>
      <c r="B536" s="24" t="s">
        <v>109</v>
      </c>
      <c r="C536" s="21" t="s">
        <v>3871</v>
      </c>
      <c r="D536" s="21" t="s">
        <v>3871</v>
      </c>
      <c r="E536" s="21">
        <v>0.08</v>
      </c>
      <c r="F536" s="21">
        <v>0.08</v>
      </c>
      <c r="G536" s="21">
        <v>0.27</v>
      </c>
      <c r="H536" s="21"/>
      <c r="I536" s="27"/>
      <c r="J536" s="23"/>
      <c r="K536" s="24" t="s">
        <v>3862</v>
      </c>
      <c r="L536" s="27"/>
    </row>
    <row r="537">
      <c r="A537" s="73" t="s">
        <v>5801</v>
      </c>
      <c r="B537" s="24" t="s">
        <v>1385</v>
      </c>
      <c r="C537" s="21" t="s">
        <v>1383</v>
      </c>
      <c r="D537" s="21" t="s">
        <v>1383</v>
      </c>
      <c r="E537" s="21">
        <v>0.055</v>
      </c>
      <c r="F537" s="21">
        <v>0.055</v>
      </c>
      <c r="G537" s="21">
        <v>0.21</v>
      </c>
      <c r="H537" s="21"/>
      <c r="I537" s="27"/>
      <c r="J537" s="23"/>
      <c r="K537" s="24" t="s">
        <v>1381</v>
      </c>
      <c r="L537" s="27"/>
    </row>
    <row r="538">
      <c r="A538" s="73" t="s">
        <v>5802</v>
      </c>
      <c r="B538" s="24" t="s">
        <v>1433</v>
      </c>
      <c r="C538" s="21" t="s">
        <v>1467</v>
      </c>
      <c r="D538" s="21" t="s">
        <v>1467</v>
      </c>
      <c r="E538" s="21">
        <v>0.015</v>
      </c>
      <c r="F538" s="21">
        <v>0.06</v>
      </c>
      <c r="G538" s="21">
        <v>0.06</v>
      </c>
      <c r="H538" s="21"/>
      <c r="I538" s="27"/>
      <c r="J538" s="23"/>
      <c r="K538" s="24" t="s">
        <v>1428</v>
      </c>
      <c r="L538" s="27"/>
    </row>
    <row r="539">
      <c r="A539" s="73" t="s">
        <v>5803</v>
      </c>
      <c r="B539" s="24" t="s">
        <v>1433</v>
      </c>
      <c r="C539" s="21" t="s">
        <v>1431</v>
      </c>
      <c r="D539" s="21" t="s">
        <v>1431</v>
      </c>
      <c r="E539" s="21">
        <v>0.015</v>
      </c>
      <c r="F539" s="21">
        <v>0.06</v>
      </c>
      <c r="G539" s="21">
        <v>0.06</v>
      </c>
      <c r="H539" s="21"/>
      <c r="I539" s="27"/>
      <c r="J539" s="23"/>
      <c r="K539" s="24" t="s">
        <v>1428</v>
      </c>
      <c r="L539" s="27"/>
    </row>
    <row r="540">
      <c r="A540" s="73" t="s">
        <v>5804</v>
      </c>
      <c r="B540" s="24" t="s">
        <v>1433</v>
      </c>
      <c r="C540" s="21" t="s">
        <v>1440</v>
      </c>
      <c r="D540" s="21" t="s">
        <v>1440</v>
      </c>
      <c r="E540" s="21">
        <v>0.015</v>
      </c>
      <c r="F540" s="21">
        <v>0.06</v>
      </c>
      <c r="G540" s="21">
        <v>0.06</v>
      </c>
      <c r="H540" s="21"/>
      <c r="I540" s="27"/>
      <c r="J540" s="23"/>
      <c r="K540" s="24" t="s">
        <v>1428</v>
      </c>
      <c r="L540" s="27"/>
    </row>
    <row r="541">
      <c r="A541" s="73" t="s">
        <v>5805</v>
      </c>
      <c r="B541" s="24" t="s">
        <v>1433</v>
      </c>
      <c r="C541" s="21" t="s">
        <v>1448</v>
      </c>
      <c r="D541" s="21" t="s">
        <v>1448</v>
      </c>
      <c r="E541" s="21">
        <v>0.01</v>
      </c>
      <c r="F541" s="21">
        <v>0.08</v>
      </c>
      <c r="G541" s="21">
        <v>0.08</v>
      </c>
      <c r="H541" s="21"/>
      <c r="I541" s="27"/>
      <c r="J541" s="23"/>
      <c r="K541" s="24" t="s">
        <v>1428</v>
      </c>
      <c r="L541" s="27"/>
    </row>
    <row r="542">
      <c r="A542" s="73" t="s">
        <v>5806</v>
      </c>
      <c r="B542" s="24" t="s">
        <v>1433</v>
      </c>
      <c r="C542" s="21" t="s">
        <v>1461</v>
      </c>
      <c r="D542" s="21" t="s">
        <v>1461</v>
      </c>
      <c r="E542" s="21">
        <v>0.01</v>
      </c>
      <c r="F542" s="21">
        <v>0.08</v>
      </c>
      <c r="G542" s="21">
        <v>0.08</v>
      </c>
      <c r="H542" s="21"/>
      <c r="I542" s="27"/>
      <c r="J542" s="23"/>
      <c r="K542" s="24" t="s">
        <v>1428</v>
      </c>
      <c r="L542" s="27"/>
    </row>
    <row r="543">
      <c r="A543" s="73" t="s">
        <v>5807</v>
      </c>
      <c r="B543" s="24" t="s">
        <v>1433</v>
      </c>
      <c r="C543" s="21" t="s">
        <v>1455</v>
      </c>
      <c r="D543" s="21" t="s">
        <v>1455</v>
      </c>
      <c r="E543" s="21">
        <v>0.01</v>
      </c>
      <c r="F543" s="21">
        <v>0.08</v>
      </c>
      <c r="G543" s="21">
        <v>0.08</v>
      </c>
      <c r="H543" s="21"/>
      <c r="I543" s="27"/>
      <c r="J543" s="23"/>
      <c r="K543" s="24" t="s">
        <v>1428</v>
      </c>
      <c r="L543" s="27"/>
    </row>
    <row r="544">
      <c r="A544" s="73" t="s">
        <v>5808</v>
      </c>
      <c r="B544" s="24" t="s">
        <v>3439</v>
      </c>
      <c r="C544" s="21" t="s">
        <v>3442</v>
      </c>
      <c r="D544" s="21" t="s">
        <v>3442</v>
      </c>
      <c r="E544" s="21">
        <v>0.045</v>
      </c>
      <c r="F544" s="21">
        <v>0.235</v>
      </c>
      <c r="G544" s="21">
        <v>0.105</v>
      </c>
      <c r="H544" s="21"/>
      <c r="I544" s="27"/>
      <c r="J544" s="23"/>
      <c r="K544" s="24" t="s">
        <v>3439</v>
      </c>
      <c r="L544" s="27"/>
    </row>
    <row r="545">
      <c r="A545" s="73" t="s">
        <v>5809</v>
      </c>
      <c r="B545" s="24" t="s">
        <v>3439</v>
      </c>
      <c r="C545" s="21" t="s">
        <v>3450</v>
      </c>
      <c r="D545" s="21" t="s">
        <v>3450</v>
      </c>
      <c r="E545" s="21">
        <v>0.045</v>
      </c>
      <c r="F545" s="21">
        <v>0.19</v>
      </c>
      <c r="G545" s="21">
        <v>0.075</v>
      </c>
      <c r="H545" s="21"/>
      <c r="I545" s="27"/>
      <c r="J545" s="23"/>
      <c r="K545" s="24" t="s">
        <v>3439</v>
      </c>
      <c r="L545" s="27"/>
    </row>
    <row r="546">
      <c r="A546" s="73" t="s">
        <v>5810</v>
      </c>
      <c r="B546" s="24" t="s">
        <v>954</v>
      </c>
      <c r="C546" s="21" t="s">
        <v>3285</v>
      </c>
      <c r="D546" s="21" t="s">
        <v>3285</v>
      </c>
      <c r="E546" s="21">
        <v>0.09999999</v>
      </c>
      <c r="F546" s="21">
        <v>0.09999999</v>
      </c>
      <c r="G546" s="21">
        <v>0.09</v>
      </c>
      <c r="H546" s="21"/>
      <c r="I546" s="27"/>
      <c r="J546" s="23"/>
      <c r="K546" s="24" t="s">
        <v>5241</v>
      </c>
      <c r="L546" s="27"/>
    </row>
    <row r="547">
      <c r="A547" s="73" t="s">
        <v>5811</v>
      </c>
      <c r="B547" s="24" t="s">
        <v>954</v>
      </c>
      <c r="C547" s="21" t="s">
        <v>3293</v>
      </c>
      <c r="D547" s="21" t="s">
        <v>3293</v>
      </c>
      <c r="E547" s="21">
        <v>0.09999999</v>
      </c>
      <c r="F547" s="21">
        <v>0.09999999</v>
      </c>
      <c r="G547" s="21">
        <v>0.09</v>
      </c>
      <c r="H547" s="21"/>
      <c r="I547" s="27"/>
      <c r="J547" s="23"/>
      <c r="K547" s="24" t="s">
        <v>5241</v>
      </c>
      <c r="L547" s="27"/>
    </row>
    <row r="548">
      <c r="A548" s="73" t="s">
        <v>5812</v>
      </c>
      <c r="B548" s="24" t="s">
        <v>954</v>
      </c>
      <c r="C548" s="21" t="s">
        <v>3312</v>
      </c>
      <c r="D548" s="21" t="s">
        <v>3312</v>
      </c>
      <c r="E548" s="21">
        <v>0.045</v>
      </c>
      <c r="F548" s="21">
        <v>0.09999999</v>
      </c>
      <c r="G548" s="21">
        <v>0.14</v>
      </c>
      <c r="H548" s="21"/>
      <c r="I548" s="27"/>
      <c r="J548" s="23"/>
      <c r="K548" s="24" t="s">
        <v>5241</v>
      </c>
      <c r="L548" s="27"/>
    </row>
    <row r="549">
      <c r="A549" s="73" t="s">
        <v>5813</v>
      </c>
      <c r="B549" s="24" t="s">
        <v>954</v>
      </c>
      <c r="C549" s="21" t="s">
        <v>3277</v>
      </c>
      <c r="D549" s="21" t="s">
        <v>3277</v>
      </c>
      <c r="E549" s="21">
        <v>0.045</v>
      </c>
      <c r="F549" s="21">
        <v>0.09999999</v>
      </c>
      <c r="G549" s="21">
        <v>0.14</v>
      </c>
      <c r="H549" s="21"/>
      <c r="I549" s="27"/>
      <c r="J549" s="23"/>
      <c r="K549" s="24" t="s">
        <v>5241</v>
      </c>
      <c r="L549" s="27"/>
    </row>
    <row r="550">
      <c r="A550" s="73" t="s">
        <v>5814</v>
      </c>
      <c r="B550" s="24" t="s">
        <v>954</v>
      </c>
      <c r="C550" s="21" t="s">
        <v>3306</v>
      </c>
      <c r="D550" s="21" t="s">
        <v>3306</v>
      </c>
      <c r="E550" s="21">
        <v>0.045</v>
      </c>
      <c r="F550" s="21">
        <v>0.09999999</v>
      </c>
      <c r="G550" s="21">
        <v>0.14</v>
      </c>
      <c r="H550" s="21"/>
      <c r="I550" s="27"/>
      <c r="J550" s="23"/>
      <c r="K550" s="24" t="s">
        <v>5241</v>
      </c>
      <c r="L550" s="27"/>
    </row>
    <row r="551">
      <c r="A551" s="73" t="s">
        <v>5815</v>
      </c>
      <c r="B551" s="24" t="s">
        <v>954</v>
      </c>
      <c r="C551" s="21" t="s">
        <v>3300</v>
      </c>
      <c r="D551" s="21" t="s">
        <v>3300</v>
      </c>
      <c r="E551" s="21">
        <v>0.07</v>
      </c>
      <c r="F551" s="21">
        <v>0.09999999</v>
      </c>
      <c r="G551" s="21">
        <v>0.09999999</v>
      </c>
      <c r="H551" s="21"/>
      <c r="I551" s="27"/>
      <c r="J551" s="23"/>
      <c r="K551" s="24" t="s">
        <v>5241</v>
      </c>
      <c r="L551" s="27"/>
    </row>
    <row r="552">
      <c r="A552" s="73" t="s">
        <v>5816</v>
      </c>
      <c r="B552" s="24" t="s">
        <v>365</v>
      </c>
      <c r="C552" s="21" t="s">
        <v>614</v>
      </c>
      <c r="D552" s="21" t="s">
        <v>614</v>
      </c>
      <c r="E552" s="21">
        <v>0.06</v>
      </c>
      <c r="F552" s="21">
        <v>0.06</v>
      </c>
      <c r="G552" s="21">
        <v>0.158</v>
      </c>
      <c r="H552" s="21"/>
      <c r="I552" s="27"/>
      <c r="J552" s="23"/>
      <c r="K552" s="24" t="s">
        <v>611</v>
      </c>
      <c r="L552" s="27"/>
    </row>
    <row r="553">
      <c r="A553" s="73" t="s">
        <v>5817</v>
      </c>
      <c r="B553" s="24" t="s">
        <v>109</v>
      </c>
      <c r="C553" s="21" t="s">
        <v>607</v>
      </c>
      <c r="D553" s="21" t="s">
        <v>607</v>
      </c>
      <c r="E553" s="21">
        <v>0.06</v>
      </c>
      <c r="F553" s="21">
        <v>0.14</v>
      </c>
      <c r="G553" s="21">
        <v>0.18</v>
      </c>
      <c r="H553" s="21"/>
      <c r="I553" s="27"/>
      <c r="J553" s="23"/>
      <c r="K553" s="24" t="s">
        <v>598</v>
      </c>
      <c r="L553" s="27"/>
    </row>
    <row r="554">
      <c r="A554" s="73" t="s">
        <v>5818</v>
      </c>
      <c r="B554" s="24" t="s">
        <v>109</v>
      </c>
      <c r="C554" s="21" t="s">
        <v>601</v>
      </c>
      <c r="D554" s="21" t="s">
        <v>601</v>
      </c>
      <c r="E554" s="21">
        <v>0.06</v>
      </c>
      <c r="F554" s="21">
        <v>0.14</v>
      </c>
      <c r="G554" s="21">
        <v>0.18</v>
      </c>
      <c r="H554" s="21"/>
      <c r="I554" s="27"/>
      <c r="J554" s="23"/>
      <c r="K554" s="24" t="s">
        <v>598</v>
      </c>
      <c r="L554" s="27"/>
    </row>
    <row r="555">
      <c r="A555" s="73" t="s">
        <v>5819</v>
      </c>
      <c r="B555" s="24" t="s">
        <v>954</v>
      </c>
      <c r="C555" s="21" t="s">
        <v>3687</v>
      </c>
      <c r="D555" s="21" t="s">
        <v>3687</v>
      </c>
      <c r="E555" s="21">
        <v>0.03</v>
      </c>
      <c r="F555" s="21">
        <v>0.13</v>
      </c>
      <c r="G555" s="21">
        <v>0.17</v>
      </c>
      <c r="H555" s="21"/>
      <c r="I555" s="27"/>
      <c r="J555" s="23"/>
      <c r="K555" s="24" t="s">
        <v>5242</v>
      </c>
      <c r="L555" s="27"/>
    </row>
    <row r="556">
      <c r="A556" s="73" t="s">
        <v>5820</v>
      </c>
      <c r="B556" s="24" t="s">
        <v>954</v>
      </c>
      <c r="C556" s="21" t="s">
        <v>3681</v>
      </c>
      <c r="D556" s="21" t="s">
        <v>3681</v>
      </c>
      <c r="E556" s="21">
        <v>0.03</v>
      </c>
      <c r="F556" s="21">
        <v>0.13</v>
      </c>
      <c r="G556" s="21">
        <v>0.17</v>
      </c>
      <c r="H556" s="21"/>
      <c r="I556" s="27"/>
      <c r="J556" s="23"/>
      <c r="K556" s="24" t="s">
        <v>5242</v>
      </c>
      <c r="L556" s="27"/>
    </row>
    <row r="557">
      <c r="A557" s="73" t="s">
        <v>5821</v>
      </c>
      <c r="B557" s="24" t="s">
        <v>933</v>
      </c>
      <c r="C557" s="21" t="s">
        <v>931</v>
      </c>
      <c r="D557" s="21" t="s">
        <v>931</v>
      </c>
      <c r="E557" s="21">
        <v>0.095</v>
      </c>
      <c r="F557" s="21">
        <v>0.09</v>
      </c>
      <c r="G557" s="21">
        <v>0.07</v>
      </c>
      <c r="H557" s="21"/>
      <c r="I557" s="27"/>
      <c r="J557" s="23"/>
      <c r="K557" s="24" t="s">
        <v>5244</v>
      </c>
      <c r="L557" s="27"/>
    </row>
    <row r="558">
      <c r="A558" s="73" t="s">
        <v>5822</v>
      </c>
      <c r="B558" s="24" t="s">
        <v>933</v>
      </c>
      <c r="C558" s="21" t="s">
        <v>942</v>
      </c>
      <c r="D558" s="21" t="s">
        <v>942</v>
      </c>
      <c r="E558" s="21">
        <v>0.08</v>
      </c>
      <c r="F558" s="21">
        <v>0.09</v>
      </c>
      <c r="G558" s="21">
        <v>0.09</v>
      </c>
      <c r="H558" s="21"/>
      <c r="I558" s="27"/>
      <c r="J558" s="23"/>
      <c r="K558" s="24" t="s">
        <v>5244</v>
      </c>
      <c r="L558" s="27"/>
    </row>
    <row r="559">
      <c r="A559" s="73" t="s">
        <v>5823</v>
      </c>
      <c r="B559" s="24" t="s">
        <v>814</v>
      </c>
      <c r="C559" s="21" t="s">
        <v>869</v>
      </c>
      <c r="D559" s="21" t="s">
        <v>869</v>
      </c>
      <c r="E559" s="21">
        <v>0.057</v>
      </c>
      <c r="F559" s="21">
        <v>0.057</v>
      </c>
      <c r="G559" s="21">
        <v>0.14</v>
      </c>
      <c r="H559" s="21"/>
      <c r="I559" s="27"/>
      <c r="J559" s="23"/>
      <c r="K559" s="24" t="s">
        <v>794</v>
      </c>
      <c r="L559" s="27"/>
    </row>
    <row r="560">
      <c r="A560" s="73" t="s">
        <v>5824</v>
      </c>
      <c r="B560" s="24" t="s">
        <v>814</v>
      </c>
      <c r="C560" s="21" t="s">
        <v>838</v>
      </c>
      <c r="D560" s="21" t="s">
        <v>838</v>
      </c>
      <c r="E560" s="21">
        <v>0.057</v>
      </c>
      <c r="F560" s="21">
        <v>0.057</v>
      </c>
      <c r="G560" s="21">
        <v>0.14</v>
      </c>
      <c r="H560" s="21"/>
      <c r="I560" s="27"/>
      <c r="J560" s="23"/>
      <c r="K560" s="24" t="s">
        <v>794</v>
      </c>
      <c r="L560" s="27"/>
    </row>
    <row r="561">
      <c r="A561" s="73" t="s">
        <v>5825</v>
      </c>
      <c r="B561" s="24" t="s">
        <v>814</v>
      </c>
      <c r="C561" s="21" t="s">
        <v>857</v>
      </c>
      <c r="D561" s="21" t="s">
        <v>857</v>
      </c>
      <c r="E561" s="21">
        <v>0.065</v>
      </c>
      <c r="F561" s="21">
        <v>0.065</v>
      </c>
      <c r="G561" s="21">
        <v>0.24</v>
      </c>
      <c r="H561" s="21"/>
      <c r="I561" s="27"/>
      <c r="J561" s="23"/>
      <c r="K561" s="24" t="s">
        <v>794</v>
      </c>
      <c r="L561" s="27"/>
    </row>
    <row r="562">
      <c r="A562" s="73" t="s">
        <v>5826</v>
      </c>
      <c r="B562" s="24" t="s">
        <v>814</v>
      </c>
      <c r="C562" s="21" t="s">
        <v>863</v>
      </c>
      <c r="D562" s="21" t="s">
        <v>863</v>
      </c>
      <c r="E562" s="21">
        <v>0.065</v>
      </c>
      <c r="F562" s="21">
        <v>0.065</v>
      </c>
      <c r="G562" s="21">
        <v>0.24</v>
      </c>
      <c r="H562" s="21"/>
      <c r="I562" s="27"/>
      <c r="J562" s="23"/>
      <c r="K562" s="24" t="s">
        <v>794</v>
      </c>
      <c r="L562" s="27"/>
    </row>
    <row r="563">
      <c r="A563" s="73" t="s">
        <v>5827</v>
      </c>
      <c r="B563" s="24" t="s">
        <v>814</v>
      </c>
      <c r="C563" s="21" t="s">
        <v>845</v>
      </c>
      <c r="D563" s="21" t="s">
        <v>845</v>
      </c>
      <c r="E563" s="21">
        <v>0.058</v>
      </c>
      <c r="F563" s="21">
        <v>0.058</v>
      </c>
      <c r="G563" s="21">
        <v>0.212</v>
      </c>
      <c r="H563" s="21"/>
      <c r="I563" s="27"/>
      <c r="J563" s="23"/>
      <c r="K563" s="24" t="s">
        <v>794</v>
      </c>
      <c r="L563" s="27"/>
    </row>
    <row r="564">
      <c r="A564" s="73" t="s">
        <v>5828</v>
      </c>
      <c r="B564" s="24" t="s">
        <v>814</v>
      </c>
      <c r="C564" s="21" t="s">
        <v>832</v>
      </c>
      <c r="D564" s="21" t="s">
        <v>832</v>
      </c>
      <c r="E564" s="21">
        <v>0.095</v>
      </c>
      <c r="F564" s="21">
        <v>0.095</v>
      </c>
      <c r="G564" s="21">
        <v>0.28</v>
      </c>
      <c r="H564" s="21"/>
      <c r="I564" s="27"/>
      <c r="J564" s="23"/>
      <c r="K564" s="24" t="s">
        <v>794</v>
      </c>
      <c r="L564" s="27"/>
    </row>
    <row r="565">
      <c r="A565" s="73" t="s">
        <v>5829</v>
      </c>
      <c r="B565" s="24" t="s">
        <v>814</v>
      </c>
      <c r="C565" s="21" t="s">
        <v>851</v>
      </c>
      <c r="D565" s="21" t="s">
        <v>851</v>
      </c>
      <c r="E565" s="21">
        <v>0.095</v>
      </c>
      <c r="F565" s="21">
        <v>0.095</v>
      </c>
      <c r="G565" s="21">
        <v>0.333</v>
      </c>
      <c r="H565" s="21"/>
      <c r="I565" s="27"/>
      <c r="J565" s="23"/>
      <c r="K565" s="24" t="s">
        <v>794</v>
      </c>
      <c r="L565" s="27"/>
    </row>
    <row r="566">
      <c r="A566" s="73" t="s">
        <v>5830</v>
      </c>
      <c r="B566" s="24" t="s">
        <v>814</v>
      </c>
      <c r="C566" s="21" t="s">
        <v>812</v>
      </c>
      <c r="D566" s="21" t="s">
        <v>812</v>
      </c>
      <c r="E566" s="21">
        <v>0.095</v>
      </c>
      <c r="F566" s="21">
        <v>0.095</v>
      </c>
      <c r="G566" s="21">
        <v>0.333</v>
      </c>
      <c r="H566" s="21"/>
      <c r="I566" s="27"/>
      <c r="J566" s="23"/>
      <c r="K566" s="24" t="s">
        <v>794</v>
      </c>
      <c r="L566" s="27"/>
    </row>
    <row r="567">
      <c r="A567" s="73" t="s">
        <v>5831</v>
      </c>
      <c r="B567" s="24" t="s">
        <v>799</v>
      </c>
      <c r="C567" s="21" t="s">
        <v>820</v>
      </c>
      <c r="D567" s="21" t="s">
        <v>820</v>
      </c>
      <c r="E567" s="21">
        <v>0.057</v>
      </c>
      <c r="F567" s="21">
        <v>0.057</v>
      </c>
      <c r="G567" s="21">
        <v>0.14</v>
      </c>
      <c r="H567" s="21"/>
      <c r="I567" s="27"/>
      <c r="J567" s="23"/>
      <c r="K567" s="24" t="s">
        <v>794</v>
      </c>
      <c r="L567" s="27"/>
    </row>
    <row r="568">
      <c r="A568" s="73" t="s">
        <v>5832</v>
      </c>
      <c r="B568" s="24" t="s">
        <v>799</v>
      </c>
      <c r="C568" s="21" t="s">
        <v>826</v>
      </c>
      <c r="D568" s="21" t="s">
        <v>826</v>
      </c>
      <c r="E568" s="21">
        <v>0.065</v>
      </c>
      <c r="F568" s="21">
        <v>0.065</v>
      </c>
      <c r="G568" s="21">
        <v>0.24</v>
      </c>
      <c r="H568" s="21"/>
      <c r="I568" s="27"/>
      <c r="J568" s="23"/>
      <c r="K568" s="24" t="s">
        <v>794</v>
      </c>
      <c r="L568" s="27"/>
    </row>
    <row r="569">
      <c r="A569" s="73" t="s">
        <v>5833</v>
      </c>
      <c r="B569" s="24" t="s">
        <v>799</v>
      </c>
      <c r="C569" s="21" t="s">
        <v>805</v>
      </c>
      <c r="D569" s="21" t="s">
        <v>805</v>
      </c>
      <c r="E569" s="21">
        <v>0.058</v>
      </c>
      <c r="F569" s="21">
        <v>0.058</v>
      </c>
      <c r="G569" s="21">
        <v>0.212</v>
      </c>
      <c r="H569" s="21"/>
      <c r="I569" s="27"/>
      <c r="J569" s="23"/>
      <c r="K569" s="24" t="s">
        <v>794</v>
      </c>
      <c r="L569" s="27"/>
    </row>
    <row r="570">
      <c r="A570" s="73" t="s">
        <v>5834</v>
      </c>
      <c r="B570" s="24" t="s">
        <v>814</v>
      </c>
      <c r="C570" s="21" t="s">
        <v>875</v>
      </c>
      <c r="D570" s="21" t="s">
        <v>875</v>
      </c>
      <c r="E570" s="21">
        <v>0.095</v>
      </c>
      <c r="F570" s="21">
        <v>0.095</v>
      </c>
      <c r="G570" s="21">
        <v>0.333</v>
      </c>
      <c r="H570" s="21"/>
      <c r="I570" s="27"/>
      <c r="J570" s="23"/>
      <c r="K570" s="24" t="s">
        <v>794</v>
      </c>
      <c r="L570" s="27"/>
    </row>
    <row r="571">
      <c r="A571" s="73" t="s">
        <v>5835</v>
      </c>
      <c r="B571" s="24" t="s">
        <v>799</v>
      </c>
      <c r="C571" s="21" t="s">
        <v>797</v>
      </c>
      <c r="D571" s="21" t="s">
        <v>797</v>
      </c>
      <c r="E571" s="21">
        <v>0.095</v>
      </c>
      <c r="F571" s="21">
        <v>0.095</v>
      </c>
      <c r="G571" s="21">
        <v>0.28</v>
      </c>
      <c r="H571" s="21"/>
      <c r="I571" s="27"/>
      <c r="J571" s="23"/>
      <c r="K571" s="24" t="s">
        <v>794</v>
      </c>
      <c r="L571" s="27"/>
    </row>
    <row r="572">
      <c r="A572" s="73" t="s">
        <v>5836</v>
      </c>
      <c r="B572" s="24" t="s">
        <v>340</v>
      </c>
      <c r="C572" s="21" t="s">
        <v>891</v>
      </c>
      <c r="D572" s="21" t="s">
        <v>891</v>
      </c>
      <c r="E572" s="21">
        <v>0.055</v>
      </c>
      <c r="F572" s="21">
        <v>0.055</v>
      </c>
      <c r="G572" s="21">
        <v>0.145</v>
      </c>
      <c r="H572" s="21"/>
      <c r="I572" s="27"/>
      <c r="J572" s="23"/>
      <c r="K572" s="24" t="s">
        <v>880</v>
      </c>
      <c r="L572" s="27"/>
    </row>
    <row r="573">
      <c r="A573" s="73" t="s">
        <v>5837</v>
      </c>
      <c r="B573" s="24" t="s">
        <v>340</v>
      </c>
      <c r="C573" s="21" t="s">
        <v>883</v>
      </c>
      <c r="D573" s="21" t="s">
        <v>883</v>
      </c>
      <c r="E573" s="21">
        <v>0.06</v>
      </c>
      <c r="F573" s="21">
        <v>0.06</v>
      </c>
      <c r="G573" s="21">
        <v>0.19</v>
      </c>
      <c r="H573" s="21"/>
      <c r="I573" s="27"/>
      <c r="J573" s="23"/>
      <c r="K573" s="24" t="s">
        <v>880</v>
      </c>
      <c r="L573" s="27"/>
    </row>
    <row r="574">
      <c r="A574" s="73" t="s">
        <v>5838</v>
      </c>
      <c r="B574" s="24" t="s">
        <v>62</v>
      </c>
      <c r="C574" s="21" t="s">
        <v>898</v>
      </c>
      <c r="D574" s="21" t="s">
        <v>898</v>
      </c>
      <c r="E574" s="21">
        <v>0.055</v>
      </c>
      <c r="F574" s="21">
        <v>0.055</v>
      </c>
      <c r="G574" s="21">
        <v>0.145</v>
      </c>
      <c r="H574" s="21"/>
      <c r="I574" s="27"/>
      <c r="J574" s="23"/>
      <c r="K574" s="24" t="s">
        <v>880</v>
      </c>
      <c r="L574" s="27"/>
    </row>
    <row r="575">
      <c r="A575" s="73" t="s">
        <v>5839</v>
      </c>
      <c r="B575" s="24" t="s">
        <v>365</v>
      </c>
      <c r="C575" s="21" t="s">
        <v>916</v>
      </c>
      <c r="D575" s="21" t="s">
        <v>916</v>
      </c>
      <c r="E575" s="21">
        <v>0.058</v>
      </c>
      <c r="F575" s="21">
        <v>0.058</v>
      </c>
      <c r="G575" s="21">
        <v>0.25</v>
      </c>
      <c r="H575" s="21"/>
      <c r="I575" s="27"/>
      <c r="J575" s="23"/>
      <c r="K575" s="24" t="s">
        <v>912</v>
      </c>
      <c r="L575" s="27"/>
    </row>
    <row r="576">
      <c r="A576" s="73" t="s">
        <v>5840</v>
      </c>
      <c r="B576" s="24" t="s">
        <v>365</v>
      </c>
      <c r="C576" s="21" t="s">
        <v>922</v>
      </c>
      <c r="D576" s="21" t="s">
        <v>922</v>
      </c>
      <c r="E576" s="21">
        <v>0.055</v>
      </c>
      <c r="F576" s="21">
        <v>0.055</v>
      </c>
      <c r="G576" s="21">
        <v>0.16</v>
      </c>
      <c r="H576" s="21"/>
      <c r="I576" s="27"/>
      <c r="J576" s="23"/>
      <c r="K576" s="24" t="s">
        <v>912</v>
      </c>
      <c r="L576" s="27"/>
    </row>
    <row r="577">
      <c r="A577" s="73" t="s">
        <v>5841</v>
      </c>
      <c r="B577" s="24" t="s">
        <v>501</v>
      </c>
      <c r="C577" s="21" t="s">
        <v>2173</v>
      </c>
      <c r="D577" s="21" t="s">
        <v>2173</v>
      </c>
      <c r="E577" s="21">
        <v>0.01</v>
      </c>
      <c r="F577" s="21">
        <v>0.097</v>
      </c>
      <c r="G577" s="21">
        <v>0.064</v>
      </c>
      <c r="H577" s="21"/>
      <c r="I577" s="27"/>
      <c r="J577" s="23"/>
      <c r="K577" s="24" t="s">
        <v>2170</v>
      </c>
      <c r="L577" s="27"/>
    </row>
    <row r="578">
      <c r="A578" s="73" t="s">
        <v>5842</v>
      </c>
      <c r="B578" s="24" t="s">
        <v>501</v>
      </c>
      <c r="C578" s="21" t="s">
        <v>2180</v>
      </c>
      <c r="D578" s="21" t="s">
        <v>2180</v>
      </c>
      <c r="E578" s="21">
        <v>0.018</v>
      </c>
      <c r="F578" s="21">
        <v>0.12</v>
      </c>
      <c r="G578" s="21">
        <v>0.03</v>
      </c>
      <c r="H578" s="21"/>
      <c r="I578" s="27"/>
      <c r="J578" s="23"/>
      <c r="K578" s="24" t="s">
        <v>2170</v>
      </c>
      <c r="L578" s="27"/>
    </row>
    <row r="579">
      <c r="A579" s="73" t="s">
        <v>5843</v>
      </c>
      <c r="B579" s="24" t="s">
        <v>501</v>
      </c>
      <c r="C579" s="21" t="s">
        <v>2186</v>
      </c>
      <c r="D579" s="21" t="s">
        <v>2186</v>
      </c>
      <c r="E579" s="21">
        <v>0.018</v>
      </c>
      <c r="F579" s="21">
        <v>0.12</v>
      </c>
      <c r="G579" s="21">
        <v>0.03</v>
      </c>
      <c r="H579" s="21"/>
      <c r="I579" s="27"/>
      <c r="J579" s="23"/>
      <c r="K579" s="24" t="s">
        <v>2170</v>
      </c>
      <c r="L579" s="27"/>
    </row>
    <row r="580">
      <c r="A580" s="73" t="s">
        <v>5844</v>
      </c>
      <c r="B580" s="24" t="s">
        <v>501</v>
      </c>
      <c r="C580" s="21" t="s">
        <v>2192</v>
      </c>
      <c r="D580" s="21" t="s">
        <v>2192</v>
      </c>
      <c r="E580" s="21">
        <v>0.018</v>
      </c>
      <c r="F580" s="21">
        <v>0.12</v>
      </c>
      <c r="G580" s="21">
        <v>0.03</v>
      </c>
      <c r="H580" s="21"/>
      <c r="I580" s="27"/>
      <c r="J580" s="23"/>
      <c r="K580" s="24" t="s">
        <v>2170</v>
      </c>
      <c r="L580" s="27"/>
    </row>
    <row r="581">
      <c r="A581" s="73" t="s">
        <v>5845</v>
      </c>
      <c r="B581" s="24" t="s">
        <v>1772</v>
      </c>
      <c r="C581" s="21" t="s">
        <v>2138</v>
      </c>
      <c r="D581" s="21" t="s">
        <v>2138</v>
      </c>
      <c r="E581" s="21">
        <v>0.045</v>
      </c>
      <c r="F581" s="21">
        <v>0.045</v>
      </c>
      <c r="G581" s="21">
        <v>0.065</v>
      </c>
      <c r="H581" s="21"/>
      <c r="I581" s="27"/>
      <c r="J581" s="23"/>
      <c r="K581" s="24" t="s">
        <v>2099</v>
      </c>
      <c r="L581" s="27"/>
    </row>
    <row r="582">
      <c r="A582" s="73" t="s">
        <v>5846</v>
      </c>
      <c r="B582" s="24" t="s">
        <v>1772</v>
      </c>
      <c r="C582" s="21" t="s">
        <v>2132</v>
      </c>
      <c r="D582" s="21" t="s">
        <v>2132</v>
      </c>
      <c r="E582" s="21">
        <v>0.055</v>
      </c>
      <c r="F582" s="21">
        <v>0.05</v>
      </c>
      <c r="G582" s="21">
        <v>0.07</v>
      </c>
      <c r="H582" s="21"/>
      <c r="I582" s="27"/>
      <c r="J582" s="23"/>
      <c r="K582" s="24" t="s">
        <v>2099</v>
      </c>
      <c r="L582" s="27"/>
    </row>
    <row r="583">
      <c r="A583" s="73" t="s">
        <v>5847</v>
      </c>
      <c r="B583" s="24" t="s">
        <v>1772</v>
      </c>
      <c r="C583" s="21" t="s">
        <v>2124</v>
      </c>
      <c r="D583" s="21" t="s">
        <v>2124</v>
      </c>
      <c r="E583" s="21">
        <v>0.055</v>
      </c>
      <c r="F583" s="21">
        <v>0.05</v>
      </c>
      <c r="G583" s="21">
        <v>0.07</v>
      </c>
      <c r="H583" s="21"/>
      <c r="I583" s="27"/>
      <c r="J583" s="23"/>
      <c r="K583" s="24" t="s">
        <v>2099</v>
      </c>
      <c r="L583" s="27"/>
    </row>
    <row r="584">
      <c r="A584" s="73" t="s">
        <v>5848</v>
      </c>
      <c r="B584" s="24" t="s">
        <v>501</v>
      </c>
      <c r="C584" s="21" t="s">
        <v>2102</v>
      </c>
      <c r="D584" s="21" t="s">
        <v>2102</v>
      </c>
      <c r="E584" s="21">
        <v>0.02</v>
      </c>
      <c r="F584" s="21">
        <v>0.155</v>
      </c>
      <c r="G584" s="21">
        <v>0.055</v>
      </c>
      <c r="H584" s="21"/>
      <c r="I584" s="27"/>
      <c r="J584" s="23"/>
      <c r="K584" s="24" t="s">
        <v>2099</v>
      </c>
      <c r="L584" s="27"/>
    </row>
    <row r="585">
      <c r="A585" s="73" t="s">
        <v>5849</v>
      </c>
      <c r="B585" s="24" t="s">
        <v>501</v>
      </c>
      <c r="C585" s="21" t="s">
        <v>2116</v>
      </c>
      <c r="D585" s="21" t="s">
        <v>2116</v>
      </c>
      <c r="E585" s="21">
        <v>0.02</v>
      </c>
      <c r="F585" s="21">
        <v>0.145</v>
      </c>
      <c r="G585" s="21">
        <v>0.065</v>
      </c>
      <c r="H585" s="21"/>
      <c r="I585" s="27"/>
      <c r="J585" s="23"/>
      <c r="K585" s="24" t="s">
        <v>2099</v>
      </c>
      <c r="L585" s="27"/>
    </row>
    <row r="586">
      <c r="A586" s="73" t="s">
        <v>5850</v>
      </c>
      <c r="B586" s="24" t="s">
        <v>1772</v>
      </c>
      <c r="C586" s="21" t="s">
        <v>2109</v>
      </c>
      <c r="D586" s="21" t="s">
        <v>2109</v>
      </c>
      <c r="E586" s="21">
        <v>0.01</v>
      </c>
      <c r="F586" s="21">
        <v>0.04</v>
      </c>
      <c r="G586" s="21">
        <v>0.11</v>
      </c>
      <c r="H586" s="21"/>
      <c r="I586" s="27"/>
      <c r="J586" s="23"/>
      <c r="K586" s="24" t="s">
        <v>2099</v>
      </c>
      <c r="L586" s="27"/>
    </row>
    <row r="587">
      <c r="A587" s="73" t="s">
        <v>5851</v>
      </c>
      <c r="B587" s="24" t="s">
        <v>1772</v>
      </c>
      <c r="C587" s="21" t="s">
        <v>2148</v>
      </c>
      <c r="D587" s="21" t="s">
        <v>2148</v>
      </c>
      <c r="E587" s="21">
        <v>0.03</v>
      </c>
      <c r="F587" s="21">
        <v>0.135</v>
      </c>
      <c r="G587" s="21">
        <v>0.165</v>
      </c>
      <c r="H587" s="21"/>
      <c r="I587" s="27"/>
      <c r="J587" s="23"/>
      <c r="K587" s="24" t="s">
        <v>2099</v>
      </c>
      <c r="L587" s="27"/>
    </row>
    <row r="588">
      <c r="A588" s="73" t="s">
        <v>5852</v>
      </c>
      <c r="B588" s="24" t="s">
        <v>2158</v>
      </c>
      <c r="C588" s="21" t="s">
        <v>2164</v>
      </c>
      <c r="D588" s="21" t="s">
        <v>2164</v>
      </c>
      <c r="E588" s="21">
        <v>0.06</v>
      </c>
      <c r="F588" s="21">
        <v>0.06</v>
      </c>
      <c r="G588" s="21">
        <v>0.205</v>
      </c>
      <c r="H588" s="21"/>
      <c r="I588" s="27"/>
      <c r="J588" s="23"/>
      <c r="K588" s="24" t="s">
        <v>2153</v>
      </c>
      <c r="L588" s="27"/>
    </row>
    <row r="589">
      <c r="A589" s="73" t="s">
        <v>5853</v>
      </c>
      <c r="B589" s="24" t="s">
        <v>2158</v>
      </c>
      <c r="C589" s="21" t="s">
        <v>2156</v>
      </c>
      <c r="D589" s="21" t="s">
        <v>2156</v>
      </c>
      <c r="E589" s="21">
        <v>0.095</v>
      </c>
      <c r="F589" s="21">
        <v>0.095</v>
      </c>
      <c r="G589" s="21">
        <v>0.333</v>
      </c>
      <c r="H589" s="21"/>
      <c r="I589" s="27"/>
      <c r="J589" s="23"/>
      <c r="K589" s="24" t="s">
        <v>2153</v>
      </c>
      <c r="L589" s="27"/>
    </row>
    <row r="590">
      <c r="A590" s="73" t="s">
        <v>5854</v>
      </c>
      <c r="B590" s="24" t="s">
        <v>501</v>
      </c>
      <c r="C590" s="21" t="s">
        <v>777</v>
      </c>
      <c r="D590" s="21" t="s">
        <v>777</v>
      </c>
      <c r="E590" s="21">
        <v>0.03</v>
      </c>
      <c r="F590" s="21">
        <v>0.16</v>
      </c>
      <c r="G590" s="21">
        <v>0.037</v>
      </c>
      <c r="H590" s="21"/>
      <c r="I590" s="27"/>
      <c r="J590" s="23"/>
      <c r="K590" s="24" t="s">
        <v>723</v>
      </c>
      <c r="L590" s="27"/>
    </row>
    <row r="591">
      <c r="A591" s="73" t="s">
        <v>5855</v>
      </c>
      <c r="B591" s="24" t="s">
        <v>501</v>
      </c>
      <c r="C591" s="21" t="s">
        <v>752</v>
      </c>
      <c r="D591" s="21" t="s">
        <v>752</v>
      </c>
      <c r="E591" s="21">
        <v>0.02</v>
      </c>
      <c r="F591" s="21">
        <v>0.16</v>
      </c>
      <c r="G591" s="21">
        <v>0.037</v>
      </c>
      <c r="H591" s="21"/>
      <c r="I591" s="27"/>
      <c r="J591" s="23"/>
      <c r="K591" s="24" t="s">
        <v>723</v>
      </c>
      <c r="L591" s="27"/>
    </row>
    <row r="592">
      <c r="A592" s="73" t="s">
        <v>5856</v>
      </c>
      <c r="B592" s="24" t="s">
        <v>501</v>
      </c>
      <c r="C592" s="21" t="s">
        <v>771</v>
      </c>
      <c r="D592" s="21" t="s">
        <v>771</v>
      </c>
      <c r="E592" s="21">
        <v>0.02</v>
      </c>
      <c r="F592" s="21">
        <v>0.11</v>
      </c>
      <c r="G592" s="21">
        <v>0.03</v>
      </c>
      <c r="H592" s="21"/>
      <c r="I592" s="27"/>
      <c r="J592" s="23"/>
      <c r="K592" s="24" t="s">
        <v>723</v>
      </c>
      <c r="L592" s="27"/>
    </row>
    <row r="593">
      <c r="A593" s="73" t="s">
        <v>5857</v>
      </c>
      <c r="B593" s="24" t="s">
        <v>501</v>
      </c>
      <c r="C593" s="21" t="s">
        <v>765</v>
      </c>
      <c r="D593" s="21" t="s">
        <v>765</v>
      </c>
      <c r="E593" s="21">
        <v>0.03</v>
      </c>
      <c r="F593" s="21">
        <v>0.16</v>
      </c>
      <c r="G593" s="21">
        <v>0.037</v>
      </c>
      <c r="H593" s="21"/>
      <c r="I593" s="27"/>
      <c r="J593" s="23"/>
      <c r="K593" s="24" t="s">
        <v>723</v>
      </c>
      <c r="L593" s="27"/>
    </row>
    <row r="594">
      <c r="A594" s="73" t="s">
        <v>5858</v>
      </c>
      <c r="B594" s="24" t="s">
        <v>501</v>
      </c>
      <c r="C594" s="21" t="s">
        <v>783</v>
      </c>
      <c r="D594" s="21" t="s">
        <v>783</v>
      </c>
      <c r="E594" s="21">
        <v>0.02</v>
      </c>
      <c r="F594" s="21">
        <v>0.16</v>
      </c>
      <c r="G594" s="21">
        <v>0.037</v>
      </c>
      <c r="H594" s="21"/>
      <c r="I594" s="27"/>
      <c r="J594" s="23"/>
      <c r="K594" s="24" t="s">
        <v>723</v>
      </c>
      <c r="L594" s="27"/>
    </row>
    <row r="595">
      <c r="A595" s="73" t="s">
        <v>5859</v>
      </c>
      <c r="B595" s="24" t="s">
        <v>501</v>
      </c>
      <c r="C595" s="21" t="s">
        <v>789</v>
      </c>
      <c r="D595" s="21" t="s">
        <v>789</v>
      </c>
      <c r="E595" s="21">
        <v>0.02</v>
      </c>
      <c r="F595" s="21">
        <v>0.16</v>
      </c>
      <c r="G595" s="21">
        <v>0.037</v>
      </c>
      <c r="H595" s="21"/>
      <c r="I595" s="27"/>
      <c r="J595" s="23"/>
      <c r="K595" s="24" t="s">
        <v>723</v>
      </c>
      <c r="L595" s="27"/>
    </row>
    <row r="596">
      <c r="A596" s="73" t="s">
        <v>5860</v>
      </c>
      <c r="B596" s="24" t="s">
        <v>501</v>
      </c>
      <c r="C596" s="21" t="s">
        <v>727</v>
      </c>
      <c r="D596" s="21" t="s">
        <v>727</v>
      </c>
      <c r="E596" s="21">
        <v>0.02</v>
      </c>
      <c r="F596" s="21">
        <v>0.083</v>
      </c>
      <c r="G596" s="21">
        <v>0.12</v>
      </c>
      <c r="H596" s="21"/>
      <c r="I596" s="27"/>
      <c r="J596" s="23"/>
      <c r="K596" s="24" t="s">
        <v>723</v>
      </c>
      <c r="L596" s="27"/>
    </row>
    <row r="597">
      <c r="A597" s="73" t="s">
        <v>5861</v>
      </c>
      <c r="B597" s="24" t="s">
        <v>501</v>
      </c>
      <c r="C597" s="21" t="s">
        <v>759</v>
      </c>
      <c r="D597" s="21" t="s">
        <v>759</v>
      </c>
      <c r="E597" s="21">
        <v>0.02</v>
      </c>
      <c r="F597" s="21">
        <v>0.083</v>
      </c>
      <c r="G597" s="21">
        <v>0.12</v>
      </c>
      <c r="H597" s="21"/>
      <c r="I597" s="27"/>
      <c r="J597" s="23"/>
      <c r="K597" s="24" t="s">
        <v>723</v>
      </c>
      <c r="L597" s="27"/>
    </row>
    <row r="598">
      <c r="A598" s="73" t="s">
        <v>5862</v>
      </c>
      <c r="B598" s="24" t="s">
        <v>501</v>
      </c>
      <c r="C598" s="21" t="s">
        <v>746</v>
      </c>
      <c r="D598" s="21" t="s">
        <v>746</v>
      </c>
      <c r="E598" s="21">
        <v>0.02</v>
      </c>
      <c r="F598" s="21">
        <v>0.083</v>
      </c>
      <c r="G598" s="21">
        <v>0.12</v>
      </c>
      <c r="H598" s="21"/>
      <c r="I598" s="27"/>
      <c r="J598" s="23"/>
      <c r="K598" s="24" t="s">
        <v>723</v>
      </c>
      <c r="L598" s="27"/>
    </row>
    <row r="599">
      <c r="A599" s="73" t="s">
        <v>5863</v>
      </c>
      <c r="B599" s="24" t="s">
        <v>501</v>
      </c>
      <c r="C599" s="21" t="s">
        <v>740</v>
      </c>
      <c r="D599" s="21" t="s">
        <v>740</v>
      </c>
      <c r="E599" s="21">
        <v>0.02</v>
      </c>
      <c r="F599" s="21">
        <v>0.083</v>
      </c>
      <c r="G599" s="21">
        <v>0.12</v>
      </c>
      <c r="H599" s="21"/>
      <c r="I599" s="27"/>
      <c r="J599" s="23"/>
      <c r="K599" s="24" t="s">
        <v>723</v>
      </c>
      <c r="L599" s="27"/>
    </row>
    <row r="600">
      <c r="A600" s="73" t="s">
        <v>5864</v>
      </c>
      <c r="B600" s="24" t="s">
        <v>501</v>
      </c>
      <c r="C600" s="21" t="s">
        <v>734</v>
      </c>
      <c r="D600" s="21" t="s">
        <v>734</v>
      </c>
      <c r="E600" s="21">
        <v>0.02</v>
      </c>
      <c r="F600" s="21">
        <v>0.083</v>
      </c>
      <c r="G600" s="21">
        <v>0.12</v>
      </c>
      <c r="H600" s="21"/>
      <c r="I600" s="27"/>
      <c r="J600" s="23"/>
      <c r="K600" s="24" t="s">
        <v>723</v>
      </c>
      <c r="L600" s="27"/>
    </row>
    <row r="601">
      <c r="A601" s="73" t="s">
        <v>5865</v>
      </c>
      <c r="B601" s="24" t="s">
        <v>1794</v>
      </c>
      <c r="C601" s="21" t="s">
        <v>2272</v>
      </c>
      <c r="D601" s="21" t="s">
        <v>2272</v>
      </c>
      <c r="E601" s="21">
        <v>0.02</v>
      </c>
      <c r="F601" s="21">
        <v>0.11</v>
      </c>
      <c r="G601" s="21">
        <v>0.19</v>
      </c>
      <c r="H601" s="21"/>
      <c r="I601" s="27"/>
      <c r="J601" s="23"/>
      <c r="K601" s="24" t="s">
        <v>2197</v>
      </c>
      <c r="L601" s="27"/>
    </row>
    <row r="602">
      <c r="A602" s="73" t="s">
        <v>5866</v>
      </c>
      <c r="B602" s="24" t="s">
        <v>1794</v>
      </c>
      <c r="C602" s="21" t="s">
        <v>2239</v>
      </c>
      <c r="D602" s="21" t="s">
        <v>2239</v>
      </c>
      <c r="E602" s="21">
        <v>0.02</v>
      </c>
      <c r="F602" s="21">
        <v>0.125</v>
      </c>
      <c r="G602" s="21">
        <v>0.18</v>
      </c>
      <c r="H602" s="21"/>
      <c r="I602" s="27"/>
      <c r="J602" s="23"/>
      <c r="K602" s="24" t="s">
        <v>2197</v>
      </c>
      <c r="L602" s="27"/>
    </row>
    <row r="603">
      <c r="A603" s="73" t="s">
        <v>5867</v>
      </c>
      <c r="B603" s="24" t="s">
        <v>1794</v>
      </c>
      <c r="C603" s="21" t="s">
        <v>2290</v>
      </c>
      <c r="D603" s="21" t="s">
        <v>2290</v>
      </c>
      <c r="E603" s="21">
        <v>0.24</v>
      </c>
      <c r="F603" s="21">
        <v>0.06</v>
      </c>
      <c r="G603" s="21">
        <v>0.075</v>
      </c>
      <c r="H603" s="21"/>
      <c r="I603" s="27"/>
      <c r="J603" s="23"/>
      <c r="K603" s="24" t="s">
        <v>2197</v>
      </c>
      <c r="L603" s="27"/>
    </row>
    <row r="604">
      <c r="A604" s="73" t="s">
        <v>5868</v>
      </c>
      <c r="B604" s="24" t="s">
        <v>1794</v>
      </c>
      <c r="C604" s="21" t="s">
        <v>2220</v>
      </c>
      <c r="D604" s="21" t="s">
        <v>2220</v>
      </c>
      <c r="E604" s="21">
        <v>0.02</v>
      </c>
      <c r="F604" s="21">
        <v>0.12</v>
      </c>
      <c r="G604" s="21">
        <v>0.19</v>
      </c>
      <c r="H604" s="21"/>
      <c r="I604" s="27"/>
      <c r="J604" s="23"/>
      <c r="K604" s="24" t="s">
        <v>2197</v>
      </c>
      <c r="L604" s="27"/>
    </row>
    <row r="605">
      <c r="A605" s="73" t="s">
        <v>5869</v>
      </c>
      <c r="B605" s="24" t="s">
        <v>1794</v>
      </c>
      <c r="C605" s="21" t="s">
        <v>1859</v>
      </c>
      <c r="D605" s="21" t="s">
        <v>1859</v>
      </c>
      <c r="E605" s="21">
        <v>0.02</v>
      </c>
      <c r="F605" s="21">
        <v>0.11</v>
      </c>
      <c r="G605" s="21">
        <v>0.19</v>
      </c>
      <c r="H605" s="21"/>
      <c r="I605" s="27"/>
      <c r="J605" s="23"/>
      <c r="K605" s="24" t="s">
        <v>2197</v>
      </c>
      <c r="L605" s="27"/>
    </row>
    <row r="606">
      <c r="A606" s="73" t="s">
        <v>5870</v>
      </c>
      <c r="B606" s="24" t="s">
        <v>1794</v>
      </c>
      <c r="C606" s="21" t="s">
        <v>2200</v>
      </c>
      <c r="D606" s="21" t="s">
        <v>2200</v>
      </c>
      <c r="E606" s="21">
        <v>0.02</v>
      </c>
      <c r="F606" s="21">
        <v>0.145</v>
      </c>
      <c r="G606" s="21">
        <v>0.19</v>
      </c>
      <c r="H606" s="21"/>
      <c r="I606" s="27"/>
      <c r="J606" s="23"/>
      <c r="K606" s="24" t="s">
        <v>2197</v>
      </c>
      <c r="L606" s="27"/>
    </row>
    <row r="607">
      <c r="A607" s="73" t="s">
        <v>5871</v>
      </c>
      <c r="B607" s="24" t="s">
        <v>1794</v>
      </c>
      <c r="C607" s="21" t="s">
        <v>2284</v>
      </c>
      <c r="D607" s="21" t="s">
        <v>2284</v>
      </c>
      <c r="E607" s="21">
        <v>0.02</v>
      </c>
      <c r="F607" s="21">
        <v>0.11</v>
      </c>
      <c r="G607" s="21">
        <v>0.19</v>
      </c>
      <c r="H607" s="21"/>
      <c r="I607" s="27"/>
      <c r="J607" s="23"/>
      <c r="K607" s="24" t="s">
        <v>2197</v>
      </c>
      <c r="L607" s="27"/>
    </row>
    <row r="608">
      <c r="A608" s="73" t="s">
        <v>5872</v>
      </c>
      <c r="B608" s="24" t="s">
        <v>1794</v>
      </c>
      <c r="C608" s="21" t="s">
        <v>2260</v>
      </c>
      <c r="D608" s="21" t="s">
        <v>2260</v>
      </c>
      <c r="E608" s="21">
        <v>0.02</v>
      </c>
      <c r="F608" s="21">
        <v>0.08</v>
      </c>
      <c r="G608" s="21">
        <v>0.19</v>
      </c>
      <c r="H608" s="21"/>
      <c r="I608" s="27"/>
      <c r="J608" s="23"/>
      <c r="K608" s="24" t="s">
        <v>2197</v>
      </c>
      <c r="L608" s="27"/>
    </row>
    <row r="609">
      <c r="A609" s="73" t="s">
        <v>5873</v>
      </c>
      <c r="B609" s="24" t="s">
        <v>1794</v>
      </c>
      <c r="C609" s="21" t="s">
        <v>2226</v>
      </c>
      <c r="D609" s="21" t="s">
        <v>2226</v>
      </c>
      <c r="E609" s="21">
        <v>0.02</v>
      </c>
      <c r="F609" s="21">
        <v>0.12</v>
      </c>
      <c r="G609" s="21">
        <v>0.19</v>
      </c>
      <c r="H609" s="21"/>
      <c r="I609" s="27"/>
      <c r="J609" s="23"/>
      <c r="K609" s="24" t="s">
        <v>2197</v>
      </c>
      <c r="L609" s="27"/>
    </row>
    <row r="610">
      <c r="A610" s="73" t="s">
        <v>5874</v>
      </c>
      <c r="B610" s="24" t="s">
        <v>1794</v>
      </c>
      <c r="C610" s="21" t="s">
        <v>2233</v>
      </c>
      <c r="D610" s="21" t="s">
        <v>2233</v>
      </c>
      <c r="E610" s="21">
        <v>0.02</v>
      </c>
      <c r="F610" s="21">
        <v>0.135</v>
      </c>
      <c r="G610" s="21">
        <v>0.19</v>
      </c>
      <c r="H610" s="21"/>
      <c r="I610" s="27"/>
      <c r="J610" s="23"/>
      <c r="K610" s="24" t="s">
        <v>2197</v>
      </c>
      <c r="L610" s="27"/>
    </row>
    <row r="611">
      <c r="A611" s="73" t="s">
        <v>5875</v>
      </c>
      <c r="B611" s="24" t="s">
        <v>1794</v>
      </c>
      <c r="C611" s="21" t="s">
        <v>2266</v>
      </c>
      <c r="D611" s="21" t="s">
        <v>2266</v>
      </c>
      <c r="E611" s="21">
        <v>0.02</v>
      </c>
      <c r="F611" s="21">
        <v>0.08</v>
      </c>
      <c r="G611" s="21">
        <v>0.19</v>
      </c>
      <c r="H611" s="21"/>
      <c r="I611" s="27"/>
      <c r="J611" s="23"/>
      <c r="K611" s="24" t="s">
        <v>2197</v>
      </c>
      <c r="L611" s="27"/>
    </row>
    <row r="612">
      <c r="A612" s="73" t="s">
        <v>5876</v>
      </c>
      <c r="B612" s="24" t="s">
        <v>1794</v>
      </c>
      <c r="C612" s="21" t="s">
        <v>2296</v>
      </c>
      <c r="D612" s="21" t="s">
        <v>2296</v>
      </c>
      <c r="E612" s="21">
        <v>0.02</v>
      </c>
      <c r="F612" s="21">
        <v>0.08</v>
      </c>
      <c r="G612" s="21">
        <v>0.19</v>
      </c>
      <c r="H612" s="21"/>
      <c r="I612" s="27"/>
      <c r="J612" s="23"/>
      <c r="K612" s="24" t="s">
        <v>2197</v>
      </c>
      <c r="L612" s="27"/>
    </row>
    <row r="613">
      <c r="A613" s="73" t="s">
        <v>5877</v>
      </c>
      <c r="B613" s="24" t="s">
        <v>1794</v>
      </c>
      <c r="C613" s="21" t="s">
        <v>2213</v>
      </c>
      <c r="D613" s="21" t="s">
        <v>2213</v>
      </c>
      <c r="E613" s="21">
        <v>0.02</v>
      </c>
      <c r="F613" s="21">
        <v>0.11</v>
      </c>
      <c r="G613" s="21">
        <v>0.19</v>
      </c>
      <c r="H613" s="21"/>
      <c r="I613" s="27"/>
      <c r="J613" s="23"/>
      <c r="K613" s="24" t="s">
        <v>2197</v>
      </c>
      <c r="L613" s="27"/>
    </row>
    <row r="614">
      <c r="A614" s="73" t="s">
        <v>5878</v>
      </c>
      <c r="B614" s="24" t="s">
        <v>1794</v>
      </c>
      <c r="C614" s="21" t="s">
        <v>2207</v>
      </c>
      <c r="D614" s="21" t="s">
        <v>2207</v>
      </c>
      <c r="E614" s="21">
        <v>0.02</v>
      </c>
      <c r="F614" s="21">
        <v>0.11</v>
      </c>
      <c r="G614" s="21">
        <v>0.19</v>
      </c>
      <c r="H614" s="21"/>
      <c r="I614" s="27"/>
      <c r="J614" s="23"/>
      <c r="K614" s="24" t="s">
        <v>2197</v>
      </c>
      <c r="L614" s="27"/>
    </row>
    <row r="615">
      <c r="A615" s="73" t="s">
        <v>5879</v>
      </c>
      <c r="B615" s="24" t="s">
        <v>1794</v>
      </c>
      <c r="C615" s="21" t="s">
        <v>2249</v>
      </c>
      <c r="D615" s="21" t="s">
        <v>2249</v>
      </c>
      <c r="E615" s="21">
        <v>0.02</v>
      </c>
      <c r="F615" s="21">
        <v>0.11</v>
      </c>
      <c r="G615" s="21">
        <v>0.19</v>
      </c>
      <c r="H615" s="21"/>
      <c r="I615" s="27"/>
      <c r="J615" s="23"/>
      <c r="K615" s="24" t="s">
        <v>2197</v>
      </c>
      <c r="L615" s="27"/>
    </row>
    <row r="616">
      <c r="A616" s="73" t="s">
        <v>5880</v>
      </c>
      <c r="B616" s="24" t="s">
        <v>1794</v>
      </c>
      <c r="C616" s="21" t="s">
        <v>2255</v>
      </c>
      <c r="D616" s="21" t="s">
        <v>2255</v>
      </c>
      <c r="E616" s="21">
        <v>0.03</v>
      </c>
      <c r="F616" s="21">
        <v>0.1186</v>
      </c>
      <c r="G616" s="21">
        <v>0.19</v>
      </c>
      <c r="H616" s="21"/>
      <c r="I616" s="27"/>
      <c r="J616" s="23"/>
      <c r="K616" s="24" t="s">
        <v>2197</v>
      </c>
      <c r="L616" s="27"/>
    </row>
    <row r="617">
      <c r="A617" s="73" t="s">
        <v>5881</v>
      </c>
      <c r="B617" s="24" t="s">
        <v>1794</v>
      </c>
      <c r="C617" s="21" t="s">
        <v>2244</v>
      </c>
      <c r="D617" s="21" t="s">
        <v>2244</v>
      </c>
      <c r="E617" s="21">
        <v>0.03</v>
      </c>
      <c r="F617" s="21">
        <v>0.297</v>
      </c>
      <c r="G617" s="21">
        <v>0.19</v>
      </c>
      <c r="H617" s="21"/>
      <c r="I617" s="27"/>
      <c r="J617" s="23"/>
      <c r="K617" s="24" t="s">
        <v>2197</v>
      </c>
      <c r="L617" s="27"/>
    </row>
    <row r="618">
      <c r="A618" s="73" t="s">
        <v>5882</v>
      </c>
      <c r="B618" s="24" t="s">
        <v>365</v>
      </c>
      <c r="C618" s="21" t="s">
        <v>2041</v>
      </c>
      <c r="D618" s="21" t="s">
        <v>2041</v>
      </c>
      <c r="E618" s="21">
        <v>0.06</v>
      </c>
      <c r="F618" s="21">
        <v>0.06</v>
      </c>
      <c r="G618" s="21">
        <v>0.19</v>
      </c>
      <c r="H618" s="21"/>
      <c r="I618" s="27"/>
      <c r="J618" s="23"/>
      <c r="K618" s="24" t="s">
        <v>2038</v>
      </c>
      <c r="L618" s="27"/>
    </row>
    <row r="619">
      <c r="A619" s="73" t="s">
        <v>5883</v>
      </c>
      <c r="B619" s="24" t="s">
        <v>1262</v>
      </c>
      <c r="C619" s="21" t="s">
        <v>1292</v>
      </c>
      <c r="D619" s="21" t="s">
        <v>1292</v>
      </c>
      <c r="E619" s="21">
        <v>0.02</v>
      </c>
      <c r="F619" s="21">
        <v>0.12</v>
      </c>
      <c r="G619" s="21">
        <v>0.18</v>
      </c>
      <c r="H619" s="21"/>
      <c r="I619" s="27"/>
      <c r="J619" s="23"/>
      <c r="K619" s="24" t="s">
        <v>1217</v>
      </c>
      <c r="L619" s="27"/>
    </row>
    <row r="620">
      <c r="A620" s="73" t="s">
        <v>5884</v>
      </c>
      <c r="B620" s="24" t="s">
        <v>1262</v>
      </c>
      <c r="C620" s="21" t="s">
        <v>1277</v>
      </c>
      <c r="D620" s="21" t="s">
        <v>1277</v>
      </c>
      <c r="E620" s="21">
        <v>0.093</v>
      </c>
      <c r="F620" s="21">
        <v>0.09</v>
      </c>
      <c r="G620" s="21">
        <v>0.174</v>
      </c>
      <c r="H620" s="21"/>
      <c r="I620" s="27"/>
      <c r="J620" s="23"/>
      <c r="K620" s="24" t="s">
        <v>1217</v>
      </c>
      <c r="L620" s="27"/>
    </row>
    <row r="621">
      <c r="A621" s="73" t="s">
        <v>5885</v>
      </c>
      <c r="B621" s="24" t="s">
        <v>1262</v>
      </c>
      <c r="C621" s="21" t="s">
        <v>1260</v>
      </c>
      <c r="D621" s="21" t="s">
        <v>1260</v>
      </c>
      <c r="E621" s="21">
        <v>0.057</v>
      </c>
      <c r="F621" s="21">
        <v>0.08</v>
      </c>
      <c r="G621" s="21">
        <v>0.13</v>
      </c>
      <c r="H621" s="21"/>
      <c r="I621" s="27"/>
      <c r="J621" s="23"/>
      <c r="K621" s="24" t="s">
        <v>1217</v>
      </c>
      <c r="L621" s="27"/>
    </row>
    <row r="622">
      <c r="A622" s="73" t="s">
        <v>5886</v>
      </c>
      <c r="B622" s="24" t="s">
        <v>1222</v>
      </c>
      <c r="C622" s="21" t="s">
        <v>1237</v>
      </c>
      <c r="D622" s="21" t="s">
        <v>1237</v>
      </c>
      <c r="E622" s="21">
        <v>0.03</v>
      </c>
      <c r="F622" s="21">
        <v>0.08</v>
      </c>
      <c r="G622" s="21">
        <v>0.195</v>
      </c>
      <c r="H622" s="21"/>
      <c r="I622" s="27"/>
      <c r="J622" s="23"/>
      <c r="K622" s="24" t="s">
        <v>1217</v>
      </c>
      <c r="L622" s="27"/>
    </row>
    <row r="623">
      <c r="A623" s="73" t="s">
        <v>5887</v>
      </c>
      <c r="B623" s="24" t="s">
        <v>1222</v>
      </c>
      <c r="C623" s="21" t="s">
        <v>1230</v>
      </c>
      <c r="D623" s="21" t="s">
        <v>1230</v>
      </c>
      <c r="E623" s="21">
        <v>0.03</v>
      </c>
      <c r="F623" s="21">
        <v>0.08</v>
      </c>
      <c r="G623" s="21">
        <v>0.195</v>
      </c>
      <c r="H623" s="21"/>
      <c r="I623" s="27"/>
      <c r="J623" s="23"/>
      <c r="K623" s="24" t="s">
        <v>1217</v>
      </c>
      <c r="L623" s="27"/>
    </row>
    <row r="624">
      <c r="A624" s="73" t="s">
        <v>5888</v>
      </c>
      <c r="B624" s="24" t="s">
        <v>1222</v>
      </c>
      <c r="C624" s="21" t="s">
        <v>1252</v>
      </c>
      <c r="D624" s="21" t="s">
        <v>1252</v>
      </c>
      <c r="E624" s="21">
        <v>0.13</v>
      </c>
      <c r="F624" s="21">
        <v>0.09</v>
      </c>
      <c r="G624" s="21">
        <v>0.195</v>
      </c>
      <c r="H624" s="21"/>
      <c r="I624" s="27"/>
      <c r="J624" s="23"/>
      <c r="K624" s="24" t="s">
        <v>1217</v>
      </c>
      <c r="L624" s="27"/>
    </row>
    <row r="625">
      <c r="A625" s="73" t="s">
        <v>5889</v>
      </c>
      <c r="B625" s="24" t="s">
        <v>1222</v>
      </c>
      <c r="C625" s="21" t="s">
        <v>1220</v>
      </c>
      <c r="D625" s="21" t="s">
        <v>1220</v>
      </c>
      <c r="E625" s="21">
        <v>0.03</v>
      </c>
      <c r="F625" s="21">
        <v>0.08</v>
      </c>
      <c r="G625" s="21">
        <v>0.195</v>
      </c>
      <c r="H625" s="21"/>
      <c r="I625" s="27"/>
      <c r="J625" s="23"/>
      <c r="K625" s="24" t="s">
        <v>1217</v>
      </c>
      <c r="L625" s="27"/>
    </row>
    <row r="626">
      <c r="A626" s="73" t="s">
        <v>5890</v>
      </c>
      <c r="B626" s="24" t="s">
        <v>1222</v>
      </c>
      <c r="C626" s="21" t="s">
        <v>1270</v>
      </c>
      <c r="D626" s="21" t="s">
        <v>1270</v>
      </c>
      <c r="E626" s="21">
        <v>0.03</v>
      </c>
      <c r="F626" s="21">
        <v>0.08</v>
      </c>
      <c r="G626" s="21">
        <v>0.195</v>
      </c>
      <c r="H626" s="21"/>
      <c r="I626" s="27"/>
      <c r="J626" s="23"/>
      <c r="K626" s="24" t="s">
        <v>1217</v>
      </c>
      <c r="L626" s="27"/>
    </row>
    <row r="627">
      <c r="A627" s="73" t="s">
        <v>5891</v>
      </c>
      <c r="B627" s="24" t="s">
        <v>51</v>
      </c>
      <c r="C627" s="21" t="s">
        <v>1244</v>
      </c>
      <c r="D627" s="21" t="s">
        <v>1244</v>
      </c>
      <c r="E627" s="21">
        <v>0.025</v>
      </c>
      <c r="F627" s="21">
        <v>0.11</v>
      </c>
      <c r="G627" s="21">
        <v>0.18</v>
      </c>
      <c r="H627" s="21"/>
      <c r="I627" s="27"/>
      <c r="J627" s="23"/>
      <c r="K627" s="24" t="s">
        <v>1217</v>
      </c>
      <c r="L627" s="27"/>
    </row>
    <row r="628">
      <c r="A628" s="73" t="s">
        <v>5892</v>
      </c>
      <c r="B628" s="24" t="s">
        <v>51</v>
      </c>
      <c r="C628" s="21" t="s">
        <v>1284</v>
      </c>
      <c r="D628" s="21" t="s">
        <v>1284</v>
      </c>
      <c r="E628" s="21">
        <v>0.02</v>
      </c>
      <c r="F628" s="21">
        <v>0.09999999</v>
      </c>
      <c r="G628" s="21">
        <v>0.15</v>
      </c>
      <c r="H628" s="21"/>
      <c r="I628" s="27"/>
      <c r="J628" s="23"/>
      <c r="K628" s="24" t="s">
        <v>1217</v>
      </c>
      <c r="L628" s="27"/>
    </row>
    <row r="629">
      <c r="A629" s="73" t="s">
        <v>5893</v>
      </c>
      <c r="B629" s="24" t="s">
        <v>320</v>
      </c>
      <c r="C629" s="21" t="s">
        <v>995</v>
      </c>
      <c r="D629" s="21" t="s">
        <v>995</v>
      </c>
      <c r="E629" s="21">
        <v>0.02</v>
      </c>
      <c r="F629" s="21">
        <v>0.13</v>
      </c>
      <c r="G629" s="21">
        <v>0.045</v>
      </c>
      <c r="H629" s="21"/>
      <c r="I629" s="27"/>
      <c r="J629" s="23"/>
      <c r="K629" s="24" t="s">
        <v>985</v>
      </c>
      <c r="L629" s="27"/>
    </row>
    <row r="630">
      <c r="A630" s="73" t="s">
        <v>5894</v>
      </c>
      <c r="B630" s="24" t="s">
        <v>320</v>
      </c>
      <c r="C630" s="21" t="s">
        <v>988</v>
      </c>
      <c r="D630" s="21" t="s">
        <v>988</v>
      </c>
      <c r="E630" s="21">
        <v>0.02</v>
      </c>
      <c r="F630" s="21">
        <v>0.13</v>
      </c>
      <c r="G630" s="21">
        <v>0.045</v>
      </c>
      <c r="H630" s="21"/>
      <c r="I630" s="27"/>
      <c r="J630" s="23"/>
      <c r="K630" s="24" t="s">
        <v>985</v>
      </c>
      <c r="L630" s="27"/>
    </row>
    <row r="631">
      <c r="A631" s="73" t="s">
        <v>5895</v>
      </c>
      <c r="B631" s="24" t="s">
        <v>320</v>
      </c>
      <c r="C631" s="21" t="s">
        <v>1001</v>
      </c>
      <c r="D631" s="21" t="s">
        <v>1001</v>
      </c>
      <c r="E631" s="21">
        <v>0.02</v>
      </c>
      <c r="F631" s="21">
        <v>0.13</v>
      </c>
      <c r="G631" s="21">
        <v>0.045</v>
      </c>
      <c r="H631" s="21"/>
      <c r="I631" s="27"/>
      <c r="J631" s="23"/>
      <c r="K631" s="24" t="s">
        <v>985</v>
      </c>
      <c r="L631" s="27"/>
    </row>
    <row r="632">
      <c r="A632" s="73" t="s">
        <v>5896</v>
      </c>
      <c r="B632" s="24" t="s">
        <v>365</v>
      </c>
      <c r="C632" s="21" t="s">
        <v>569</v>
      </c>
      <c r="D632" s="21" t="s">
        <v>569</v>
      </c>
      <c r="E632" s="21">
        <v>0.056</v>
      </c>
      <c r="F632" s="21">
        <v>0.056</v>
      </c>
      <c r="G632" s="21">
        <v>0.233</v>
      </c>
      <c r="H632" s="21"/>
      <c r="I632" s="27"/>
      <c r="J632" s="23"/>
      <c r="K632" s="24" t="s">
        <v>557</v>
      </c>
      <c r="L632" s="27"/>
    </row>
    <row r="633">
      <c r="A633" s="73" t="s">
        <v>5897</v>
      </c>
      <c r="B633" s="24" t="s">
        <v>365</v>
      </c>
      <c r="C633" s="21" t="s">
        <v>582</v>
      </c>
      <c r="D633" s="21" t="s">
        <v>582</v>
      </c>
      <c r="E633" s="21">
        <v>0.055</v>
      </c>
      <c r="F633" s="21">
        <v>0.055</v>
      </c>
      <c r="G633" s="21">
        <v>0.226</v>
      </c>
      <c r="H633" s="21"/>
      <c r="I633" s="27"/>
      <c r="J633" s="23"/>
      <c r="K633" s="24" t="s">
        <v>557</v>
      </c>
      <c r="L633" s="27"/>
    </row>
    <row r="634">
      <c r="A634" s="73" t="s">
        <v>5898</v>
      </c>
      <c r="B634" s="24" t="s">
        <v>365</v>
      </c>
      <c r="C634" s="21" t="s">
        <v>576</v>
      </c>
      <c r="D634" s="21" t="s">
        <v>576</v>
      </c>
      <c r="E634" s="21">
        <v>0.06</v>
      </c>
      <c r="F634" s="21">
        <v>0.065</v>
      </c>
      <c r="G634" s="21">
        <v>0.17</v>
      </c>
      <c r="H634" s="21"/>
      <c r="I634" s="27"/>
      <c r="J634" s="23"/>
      <c r="K634" s="24" t="s">
        <v>557</v>
      </c>
      <c r="L634" s="27"/>
    </row>
    <row r="635">
      <c r="A635" s="73" t="s">
        <v>5899</v>
      </c>
      <c r="B635" s="24" t="s">
        <v>562</v>
      </c>
      <c r="C635" s="21" t="s">
        <v>560</v>
      </c>
      <c r="D635" s="21" t="s">
        <v>560</v>
      </c>
      <c r="E635" s="21">
        <v>0.06</v>
      </c>
      <c r="F635" s="21">
        <v>0.06</v>
      </c>
      <c r="G635" s="21">
        <v>0.23</v>
      </c>
      <c r="H635" s="21"/>
      <c r="I635" s="27"/>
      <c r="J635" s="23"/>
      <c r="K635" s="24" t="s">
        <v>557</v>
      </c>
      <c r="L635" s="27"/>
    </row>
    <row r="636">
      <c r="A636" s="73" t="s">
        <v>5900</v>
      </c>
      <c r="B636" s="24" t="s">
        <v>954</v>
      </c>
      <c r="C636" s="21" t="s">
        <v>966</v>
      </c>
      <c r="D636" s="21" t="s">
        <v>966</v>
      </c>
      <c r="E636" s="21">
        <v>0.075</v>
      </c>
      <c r="F636" s="21">
        <v>0.2</v>
      </c>
      <c r="G636" s="21">
        <v>0.078</v>
      </c>
      <c r="H636" s="21"/>
      <c r="I636" s="27"/>
      <c r="J636" s="23"/>
      <c r="K636" s="24" t="s">
        <v>948</v>
      </c>
      <c r="L636" s="27"/>
    </row>
    <row r="637">
      <c r="A637" s="73" t="s">
        <v>5901</v>
      </c>
      <c r="B637" s="24" t="s">
        <v>954</v>
      </c>
      <c r="C637" s="21" t="s">
        <v>960</v>
      </c>
      <c r="D637" s="21" t="s">
        <v>960</v>
      </c>
      <c r="E637" s="21">
        <v>0.045</v>
      </c>
      <c r="F637" s="21">
        <v>0.2</v>
      </c>
      <c r="G637" s="21">
        <v>0.06699999</v>
      </c>
      <c r="H637" s="21"/>
      <c r="I637" s="27"/>
      <c r="J637" s="23"/>
      <c r="K637" s="24" t="s">
        <v>948</v>
      </c>
      <c r="L637" s="27"/>
    </row>
    <row r="638">
      <c r="A638" s="73" t="s">
        <v>5902</v>
      </c>
      <c r="B638" s="24" t="s">
        <v>954</v>
      </c>
      <c r="C638" s="21" t="s">
        <v>952</v>
      </c>
      <c r="D638" s="21" t="s">
        <v>952</v>
      </c>
      <c r="E638" s="21">
        <v>0.055</v>
      </c>
      <c r="F638" s="21">
        <v>0.2</v>
      </c>
      <c r="G638" s="21">
        <v>0.075</v>
      </c>
      <c r="H638" s="21"/>
      <c r="I638" s="27"/>
      <c r="J638" s="23"/>
      <c r="K638" s="24" t="s">
        <v>948</v>
      </c>
      <c r="L638" s="27"/>
    </row>
    <row r="639">
      <c r="A639" s="73" t="s">
        <v>5903</v>
      </c>
      <c r="B639" s="24" t="s">
        <v>501</v>
      </c>
      <c r="C639" s="21" t="s">
        <v>3968</v>
      </c>
      <c r="D639" s="21" t="s">
        <v>3968</v>
      </c>
      <c r="E639" s="21">
        <v>0.03</v>
      </c>
      <c r="F639" s="21">
        <v>0.16</v>
      </c>
      <c r="G639" s="21">
        <v>0.05</v>
      </c>
      <c r="H639" s="21"/>
      <c r="I639" s="27"/>
      <c r="J639" s="23"/>
      <c r="K639" s="24" t="s">
        <v>3952</v>
      </c>
      <c r="L639" s="27"/>
    </row>
    <row r="640">
      <c r="A640" s="73" t="s">
        <v>5904</v>
      </c>
      <c r="B640" s="24" t="s">
        <v>2364</v>
      </c>
      <c r="C640" s="21" t="s">
        <v>3993</v>
      </c>
      <c r="D640" s="21" t="s">
        <v>3993</v>
      </c>
      <c r="E640" s="21">
        <v>0.03</v>
      </c>
      <c r="F640" s="21">
        <v>0.26</v>
      </c>
      <c r="G640" s="21">
        <v>0.09</v>
      </c>
      <c r="H640" s="21"/>
      <c r="I640" s="27"/>
      <c r="J640" s="23"/>
      <c r="K640" s="24" t="s">
        <v>3952</v>
      </c>
      <c r="L640" s="27"/>
    </row>
    <row r="641">
      <c r="A641" s="73" t="s">
        <v>5905</v>
      </c>
      <c r="B641" s="24" t="s">
        <v>2364</v>
      </c>
      <c r="C641" s="21" t="s">
        <v>3999</v>
      </c>
      <c r="D641" s="21" t="s">
        <v>3999</v>
      </c>
      <c r="E641" s="21">
        <v>0.03</v>
      </c>
      <c r="F641" s="21">
        <v>0.26</v>
      </c>
      <c r="G641" s="21">
        <v>0.09</v>
      </c>
      <c r="H641" s="21"/>
      <c r="I641" s="27"/>
      <c r="J641" s="23"/>
      <c r="K641" s="24" t="s">
        <v>3952</v>
      </c>
      <c r="L641" s="27"/>
    </row>
    <row r="642">
      <c r="A642" s="73" t="s">
        <v>5906</v>
      </c>
      <c r="B642" s="24" t="s">
        <v>2364</v>
      </c>
      <c r="C642" s="21" t="s">
        <v>3962</v>
      </c>
      <c r="D642" s="21" t="s">
        <v>3962</v>
      </c>
      <c r="E642" s="21">
        <v>0.03</v>
      </c>
      <c r="F642" s="21">
        <v>0.275</v>
      </c>
      <c r="G642" s="21">
        <v>0.105</v>
      </c>
      <c r="H642" s="21"/>
      <c r="I642" s="27"/>
      <c r="J642" s="23"/>
      <c r="K642" s="24" t="s">
        <v>3952</v>
      </c>
      <c r="L642" s="27"/>
    </row>
    <row r="643">
      <c r="A643" s="73" t="s">
        <v>5907</v>
      </c>
      <c r="B643" s="24" t="s">
        <v>2364</v>
      </c>
      <c r="C643" s="21" t="s">
        <v>3955</v>
      </c>
      <c r="D643" s="21" t="s">
        <v>3955</v>
      </c>
      <c r="E643" s="21">
        <v>0.03</v>
      </c>
      <c r="F643" s="21">
        <v>0.275</v>
      </c>
      <c r="G643" s="21">
        <v>0.105</v>
      </c>
      <c r="H643" s="21"/>
      <c r="I643" s="27"/>
      <c r="J643" s="23"/>
      <c r="K643" s="24" t="s">
        <v>3952</v>
      </c>
      <c r="L643" s="27"/>
    </row>
    <row r="644">
      <c r="A644" s="73" t="s">
        <v>5908</v>
      </c>
      <c r="B644" s="24" t="s">
        <v>2364</v>
      </c>
      <c r="C644" s="21" t="s">
        <v>3987</v>
      </c>
      <c r="D644" s="21" t="s">
        <v>3987</v>
      </c>
      <c r="E644" s="21">
        <v>0.03</v>
      </c>
      <c r="F644" s="21">
        <v>0.26</v>
      </c>
      <c r="G644" s="21">
        <v>0.09</v>
      </c>
      <c r="H644" s="21"/>
      <c r="I644" s="27"/>
      <c r="J644" s="23"/>
      <c r="K644" s="24" t="s">
        <v>3952</v>
      </c>
      <c r="L644" s="27"/>
    </row>
    <row r="645">
      <c r="A645" s="73" t="s">
        <v>5909</v>
      </c>
      <c r="B645" s="24" t="s">
        <v>2364</v>
      </c>
      <c r="C645" s="21" t="s">
        <v>3975</v>
      </c>
      <c r="D645" s="21" t="s">
        <v>3975</v>
      </c>
      <c r="E645" s="21">
        <v>0.035</v>
      </c>
      <c r="F645" s="21">
        <v>0.11</v>
      </c>
      <c r="G645" s="21">
        <v>0.23</v>
      </c>
      <c r="H645" s="21"/>
      <c r="I645" s="27"/>
      <c r="J645" s="23"/>
      <c r="K645" s="24" t="s">
        <v>3952</v>
      </c>
      <c r="L645" s="27"/>
    </row>
    <row r="646">
      <c r="A646" s="73" t="s">
        <v>5910</v>
      </c>
      <c r="B646" s="24" t="s">
        <v>2364</v>
      </c>
      <c r="C646" s="21" t="s">
        <v>3981</v>
      </c>
      <c r="D646" s="21" t="s">
        <v>3981</v>
      </c>
      <c r="E646" s="21">
        <v>0.03</v>
      </c>
      <c r="F646" s="21">
        <v>0.26</v>
      </c>
      <c r="G646" s="21">
        <v>0.09</v>
      </c>
      <c r="H646" s="21"/>
      <c r="I646" s="27"/>
      <c r="J646" s="23"/>
      <c r="K646" s="24" t="s">
        <v>3952</v>
      </c>
      <c r="L646" s="27"/>
    </row>
    <row r="647">
      <c r="A647" s="73" t="s">
        <v>5911</v>
      </c>
      <c r="B647" s="24" t="s">
        <v>340</v>
      </c>
      <c r="C647" s="21" t="s">
        <v>3946</v>
      </c>
      <c r="D647" s="21" t="s">
        <v>3946</v>
      </c>
      <c r="E647" s="21">
        <v>0.053</v>
      </c>
      <c r="F647" s="21">
        <v>0.053</v>
      </c>
      <c r="G647" s="21">
        <v>0.134</v>
      </c>
      <c r="H647" s="21"/>
      <c r="I647" s="27"/>
      <c r="J647" s="23"/>
      <c r="K647" s="24" t="s">
        <v>3938</v>
      </c>
      <c r="L647" s="27"/>
    </row>
    <row r="648">
      <c r="A648" s="73" t="s">
        <v>5912</v>
      </c>
      <c r="B648" s="24" t="s">
        <v>340</v>
      </c>
      <c r="C648" s="21" t="s">
        <v>3941</v>
      </c>
      <c r="D648" s="21" t="s">
        <v>3941</v>
      </c>
      <c r="E648" s="21">
        <v>0.053</v>
      </c>
      <c r="F648" s="21">
        <v>0.053</v>
      </c>
      <c r="G648" s="21">
        <v>0.134</v>
      </c>
      <c r="H648" s="21"/>
      <c r="I648" s="27"/>
      <c r="J648" s="23"/>
      <c r="K648" s="24" t="s">
        <v>3938</v>
      </c>
      <c r="L648" s="27"/>
    </row>
    <row r="649">
      <c r="A649" s="73" t="s">
        <v>5913</v>
      </c>
      <c r="B649" s="24" t="s">
        <v>975</v>
      </c>
      <c r="C649" s="21" t="s">
        <v>4007</v>
      </c>
      <c r="D649" s="21" t="s">
        <v>4007</v>
      </c>
      <c r="E649" s="21">
        <v>0.073</v>
      </c>
      <c r="F649" s="21">
        <v>0.073</v>
      </c>
      <c r="G649" s="21">
        <v>0.14</v>
      </c>
      <c r="H649" s="21"/>
      <c r="I649" s="27"/>
      <c r="J649" s="23"/>
      <c r="K649" s="24" t="s">
        <v>4004</v>
      </c>
      <c r="L649" s="27"/>
    </row>
    <row r="650">
      <c r="A650" s="73" t="s">
        <v>5914</v>
      </c>
      <c r="B650" s="24" t="s">
        <v>4136</v>
      </c>
      <c r="C650" s="21" t="s">
        <v>4203</v>
      </c>
      <c r="D650" s="21" t="s">
        <v>4203</v>
      </c>
      <c r="E650" s="21">
        <v>0.065</v>
      </c>
      <c r="F650" s="21">
        <v>0.065</v>
      </c>
      <c r="G650" s="21">
        <v>0.221</v>
      </c>
      <c r="H650" s="21"/>
      <c r="I650" s="27"/>
      <c r="J650" s="23"/>
      <c r="K650" s="24" t="s">
        <v>4107</v>
      </c>
      <c r="L650" s="27"/>
    </row>
    <row r="651">
      <c r="A651" s="73" t="s">
        <v>5915</v>
      </c>
      <c r="B651" s="24" t="s">
        <v>4136</v>
      </c>
      <c r="C651" s="21" t="s">
        <v>4134</v>
      </c>
      <c r="D651" s="21" t="s">
        <v>4134</v>
      </c>
      <c r="E651" s="21">
        <v>0.065</v>
      </c>
      <c r="F651" s="21">
        <v>0.065</v>
      </c>
      <c r="G651" s="21">
        <v>0.221</v>
      </c>
      <c r="H651" s="21"/>
      <c r="I651" s="27"/>
      <c r="J651" s="23"/>
      <c r="K651" s="24" t="s">
        <v>4107</v>
      </c>
      <c r="L651" s="27"/>
    </row>
    <row r="652">
      <c r="A652" s="73" t="s">
        <v>5916</v>
      </c>
      <c r="B652" s="24" t="s">
        <v>4136</v>
      </c>
      <c r="C652" s="21" t="s">
        <v>4197</v>
      </c>
      <c r="D652" s="21" t="s">
        <v>4197</v>
      </c>
      <c r="E652" s="21">
        <v>0.09</v>
      </c>
      <c r="F652" s="21">
        <v>0.09</v>
      </c>
      <c r="G652" s="21">
        <v>0.33</v>
      </c>
      <c r="H652" s="21"/>
      <c r="I652" s="27"/>
      <c r="J652" s="23"/>
      <c r="K652" s="24" t="s">
        <v>4107</v>
      </c>
      <c r="L652" s="27"/>
    </row>
    <row r="653">
      <c r="A653" s="73" t="s">
        <v>5917</v>
      </c>
      <c r="B653" s="24" t="s">
        <v>4136</v>
      </c>
      <c r="C653" s="21" t="s">
        <v>4190</v>
      </c>
      <c r="D653" s="21" t="s">
        <v>4190</v>
      </c>
      <c r="E653" s="21">
        <v>0.09</v>
      </c>
      <c r="F653" s="21">
        <v>0.09</v>
      </c>
      <c r="G653" s="21">
        <v>0.33</v>
      </c>
      <c r="H653" s="21"/>
      <c r="I653" s="27"/>
      <c r="J653" s="23"/>
      <c r="K653" s="24" t="s">
        <v>4107</v>
      </c>
      <c r="L653" s="27"/>
    </row>
    <row r="654">
      <c r="A654" s="73" t="s">
        <v>5918</v>
      </c>
      <c r="B654" s="24" t="s">
        <v>4184</v>
      </c>
      <c r="C654" s="21" t="s">
        <v>4182</v>
      </c>
      <c r="D654" s="21" t="s">
        <v>4182</v>
      </c>
      <c r="E654" s="21">
        <v>0.09</v>
      </c>
      <c r="F654" s="21">
        <v>0.09</v>
      </c>
      <c r="G654" s="21">
        <v>0.329</v>
      </c>
      <c r="H654" s="21"/>
      <c r="I654" s="27"/>
      <c r="J654" s="23"/>
      <c r="K654" s="24" t="s">
        <v>4107</v>
      </c>
      <c r="L654" s="27"/>
    </row>
    <row r="655">
      <c r="A655" s="73" t="s">
        <v>5919</v>
      </c>
      <c r="B655" s="24" t="s">
        <v>2158</v>
      </c>
      <c r="C655" s="21" t="s">
        <v>4227</v>
      </c>
      <c r="D655" s="21" t="s">
        <v>4227</v>
      </c>
      <c r="E655" s="21">
        <v>0.053</v>
      </c>
      <c r="F655" s="21">
        <v>0.053</v>
      </c>
      <c r="G655" s="21">
        <v>0.196</v>
      </c>
      <c r="H655" s="21"/>
      <c r="I655" s="27"/>
      <c r="J655" s="23"/>
      <c r="K655" s="24" t="s">
        <v>4107</v>
      </c>
      <c r="L655" s="27"/>
    </row>
    <row r="656">
      <c r="A656" s="73" t="s">
        <v>5920</v>
      </c>
      <c r="B656" s="24" t="s">
        <v>2158</v>
      </c>
      <c r="C656" s="21" t="s">
        <v>4233</v>
      </c>
      <c r="D656" s="21" t="s">
        <v>4233</v>
      </c>
      <c r="E656" s="21">
        <v>0.053</v>
      </c>
      <c r="F656" s="21">
        <v>0.053</v>
      </c>
      <c r="G656" s="21">
        <v>0.196</v>
      </c>
      <c r="H656" s="21"/>
      <c r="I656" s="27"/>
      <c r="J656" s="23"/>
      <c r="K656" s="24" t="s">
        <v>4107</v>
      </c>
      <c r="L656" s="27"/>
    </row>
    <row r="657">
      <c r="A657" s="73" t="s">
        <v>5921</v>
      </c>
      <c r="B657" s="24" t="s">
        <v>2158</v>
      </c>
      <c r="C657" s="21" t="s">
        <v>4245</v>
      </c>
      <c r="D657" s="21" t="s">
        <v>4245</v>
      </c>
      <c r="E657" s="21">
        <v>0.053</v>
      </c>
      <c r="F657" s="21">
        <v>0.053</v>
      </c>
      <c r="G657" s="21">
        <v>0.196</v>
      </c>
      <c r="H657" s="21"/>
      <c r="I657" s="27"/>
      <c r="J657" s="23"/>
      <c r="K657" s="24" t="s">
        <v>4107</v>
      </c>
      <c r="L657" s="27"/>
    </row>
    <row r="658">
      <c r="A658" s="73" t="s">
        <v>5922</v>
      </c>
      <c r="B658" s="24" t="s">
        <v>2158</v>
      </c>
      <c r="C658" s="21" t="s">
        <v>4239</v>
      </c>
      <c r="D658" s="21" t="s">
        <v>4239</v>
      </c>
      <c r="E658" s="21">
        <v>0.09</v>
      </c>
      <c r="F658" s="21">
        <v>0.09</v>
      </c>
      <c r="G658" s="21">
        <v>0.329</v>
      </c>
      <c r="H658" s="21"/>
      <c r="I658" s="27"/>
      <c r="J658" s="23"/>
      <c r="K658" s="24" t="s">
        <v>4107</v>
      </c>
      <c r="L658" s="27"/>
    </row>
    <row r="659">
      <c r="A659" s="73" t="s">
        <v>5923</v>
      </c>
      <c r="B659" s="24" t="s">
        <v>2158</v>
      </c>
      <c r="C659" s="21" t="s">
        <v>4221</v>
      </c>
      <c r="D659" s="21" t="s">
        <v>4221</v>
      </c>
      <c r="E659" s="21">
        <v>0.085</v>
      </c>
      <c r="F659" s="21">
        <v>0.085</v>
      </c>
      <c r="G659" s="21">
        <v>0.297</v>
      </c>
      <c r="H659" s="21"/>
      <c r="I659" s="27"/>
      <c r="J659" s="23"/>
      <c r="K659" s="24" t="s">
        <v>4107</v>
      </c>
      <c r="L659" s="27"/>
    </row>
    <row r="660">
      <c r="A660" s="73" t="s">
        <v>5924</v>
      </c>
      <c r="B660" s="24" t="s">
        <v>1351</v>
      </c>
      <c r="C660" s="21" t="s">
        <v>4215</v>
      </c>
      <c r="D660" s="21" t="s">
        <v>4215</v>
      </c>
      <c r="E660" s="21">
        <v>0.058</v>
      </c>
      <c r="F660" s="21">
        <v>0.058</v>
      </c>
      <c r="G660" s="21">
        <v>0.145</v>
      </c>
      <c r="H660" s="21"/>
      <c r="I660" s="27"/>
      <c r="J660" s="23"/>
      <c r="K660" s="24" t="s">
        <v>4107</v>
      </c>
      <c r="L660" s="27"/>
    </row>
    <row r="661">
      <c r="A661" s="73" t="s">
        <v>5925</v>
      </c>
      <c r="B661" s="24" t="s">
        <v>1351</v>
      </c>
      <c r="C661" s="21" t="s">
        <v>4110</v>
      </c>
      <c r="D661" s="21" t="s">
        <v>4110</v>
      </c>
      <c r="E661" s="21">
        <v>0.058</v>
      </c>
      <c r="F661" s="21">
        <v>0.058</v>
      </c>
      <c r="G661" s="21">
        <v>0.145</v>
      </c>
      <c r="H661" s="21"/>
      <c r="I661" s="27"/>
      <c r="J661" s="23"/>
      <c r="K661" s="24" t="s">
        <v>4107</v>
      </c>
      <c r="L661" s="27"/>
    </row>
    <row r="662">
      <c r="A662" s="73" t="s">
        <v>5926</v>
      </c>
      <c r="B662" s="24" t="s">
        <v>1351</v>
      </c>
      <c r="C662" s="21" t="s">
        <v>4116</v>
      </c>
      <c r="D662" s="21" t="s">
        <v>4116</v>
      </c>
      <c r="E662" s="21">
        <v>0.053</v>
      </c>
      <c r="F662" s="21">
        <v>0.053</v>
      </c>
      <c r="G662" s="21">
        <v>0.196</v>
      </c>
      <c r="H662" s="21"/>
      <c r="I662" s="27"/>
      <c r="J662" s="23"/>
      <c r="K662" s="24" t="s">
        <v>4107</v>
      </c>
      <c r="L662" s="27"/>
    </row>
    <row r="663">
      <c r="A663" s="73" t="s">
        <v>5927</v>
      </c>
      <c r="B663" s="24" t="s">
        <v>1351</v>
      </c>
      <c r="C663" s="21" t="s">
        <v>4209</v>
      </c>
      <c r="D663" s="21" t="s">
        <v>4209</v>
      </c>
      <c r="E663" s="21">
        <v>0.065</v>
      </c>
      <c r="F663" s="21">
        <v>0.065</v>
      </c>
      <c r="G663" s="21">
        <v>0.221</v>
      </c>
      <c r="H663" s="21"/>
      <c r="I663" s="27"/>
      <c r="J663" s="23"/>
      <c r="K663" s="24" t="s">
        <v>4107</v>
      </c>
      <c r="L663" s="27"/>
    </row>
    <row r="664">
      <c r="A664" s="73" t="s">
        <v>5928</v>
      </c>
      <c r="B664" s="24" t="s">
        <v>1351</v>
      </c>
      <c r="C664" s="21" t="s">
        <v>4142</v>
      </c>
      <c r="D664" s="21" t="s">
        <v>4142</v>
      </c>
      <c r="E664" s="21">
        <v>0.065</v>
      </c>
      <c r="F664" s="21">
        <v>0.065</v>
      </c>
      <c r="G664" s="21">
        <v>0.221</v>
      </c>
      <c r="H664" s="21"/>
      <c r="I664" s="27"/>
      <c r="J664" s="23"/>
      <c r="K664" s="24" t="s">
        <v>4107</v>
      </c>
      <c r="L664" s="27"/>
    </row>
    <row r="665">
      <c r="A665" s="73" t="s">
        <v>5929</v>
      </c>
      <c r="B665" s="24" t="s">
        <v>1351</v>
      </c>
      <c r="C665" s="21" t="s">
        <v>4164</v>
      </c>
      <c r="D665" s="21" t="s">
        <v>4164</v>
      </c>
      <c r="E665" s="21">
        <v>0.065</v>
      </c>
      <c r="F665" s="21">
        <v>0.065</v>
      </c>
      <c r="G665" s="21">
        <v>0.221</v>
      </c>
      <c r="H665" s="21"/>
      <c r="I665" s="27"/>
      <c r="J665" s="23"/>
      <c r="K665" s="24" t="s">
        <v>4107</v>
      </c>
      <c r="L665" s="27"/>
    </row>
    <row r="666">
      <c r="A666" s="73" t="s">
        <v>5930</v>
      </c>
      <c r="B666" s="24" t="s">
        <v>1351</v>
      </c>
      <c r="C666" s="21" t="s">
        <v>4158</v>
      </c>
      <c r="D666" s="21" t="s">
        <v>4158</v>
      </c>
      <c r="E666" s="21">
        <v>0.065</v>
      </c>
      <c r="F666" s="21">
        <v>0.065</v>
      </c>
      <c r="G666" s="21">
        <v>0.221</v>
      </c>
      <c r="H666" s="21"/>
      <c r="I666" s="27"/>
      <c r="J666" s="23"/>
      <c r="K666" s="24" t="s">
        <v>4107</v>
      </c>
      <c r="L666" s="27"/>
    </row>
    <row r="667">
      <c r="A667" s="73" t="s">
        <v>5931</v>
      </c>
      <c r="B667" s="24" t="s">
        <v>1351</v>
      </c>
      <c r="C667" s="21" t="s">
        <v>4128</v>
      </c>
      <c r="D667" s="21" t="s">
        <v>4128</v>
      </c>
      <c r="E667" s="21">
        <v>0.065</v>
      </c>
      <c r="F667" s="21">
        <v>0.065</v>
      </c>
      <c r="G667" s="21">
        <v>0.221</v>
      </c>
      <c r="H667" s="21"/>
      <c r="I667" s="27"/>
      <c r="J667" s="23"/>
      <c r="K667" s="24" t="s">
        <v>4107</v>
      </c>
      <c r="L667" s="27"/>
    </row>
    <row r="668">
      <c r="A668" s="73" t="s">
        <v>5932</v>
      </c>
      <c r="B668" s="24" t="s">
        <v>1351</v>
      </c>
      <c r="C668" s="21" t="s">
        <v>4176</v>
      </c>
      <c r="D668" s="21" t="s">
        <v>4176</v>
      </c>
      <c r="E668" s="21">
        <v>0.058</v>
      </c>
      <c r="F668" s="21">
        <v>0.058</v>
      </c>
      <c r="G668" s="21">
        <v>0.145</v>
      </c>
      <c r="H668" s="21"/>
      <c r="I668" s="27"/>
      <c r="J668" s="23"/>
      <c r="K668" s="24" t="s">
        <v>4107</v>
      </c>
      <c r="L668" s="27"/>
    </row>
    <row r="669">
      <c r="A669" s="73" t="s">
        <v>5933</v>
      </c>
      <c r="B669" s="24" t="s">
        <v>1351</v>
      </c>
      <c r="C669" s="21" t="s">
        <v>4251</v>
      </c>
      <c r="D669" s="21" t="s">
        <v>4251</v>
      </c>
      <c r="E669" s="21">
        <v>0.058</v>
      </c>
      <c r="F669" s="21">
        <v>0.058</v>
      </c>
      <c r="G669" s="21">
        <v>0.145</v>
      </c>
      <c r="H669" s="21"/>
      <c r="I669" s="27"/>
      <c r="J669" s="23"/>
      <c r="K669" s="24" t="s">
        <v>4107</v>
      </c>
      <c r="L669" s="27"/>
    </row>
    <row r="670">
      <c r="A670" s="73" t="s">
        <v>5934</v>
      </c>
      <c r="B670" s="24" t="s">
        <v>1351</v>
      </c>
      <c r="C670" s="21" t="s">
        <v>4170</v>
      </c>
      <c r="D670" s="21" t="s">
        <v>4170</v>
      </c>
      <c r="E670" s="21">
        <v>0.09</v>
      </c>
      <c r="F670" s="21">
        <v>0.09</v>
      </c>
      <c r="G670" s="21">
        <v>0.331</v>
      </c>
      <c r="H670" s="21"/>
      <c r="I670" s="27"/>
      <c r="J670" s="23"/>
      <c r="K670" s="24" t="s">
        <v>4107</v>
      </c>
      <c r="L670" s="27"/>
    </row>
    <row r="671">
      <c r="A671" s="73" t="s">
        <v>5935</v>
      </c>
      <c r="B671" s="24" t="s">
        <v>1351</v>
      </c>
      <c r="C671" s="21" t="s">
        <v>4148</v>
      </c>
      <c r="D671" s="21" t="s">
        <v>4148</v>
      </c>
      <c r="E671" s="21">
        <v>0.09</v>
      </c>
      <c r="F671" s="21">
        <v>0.09</v>
      </c>
      <c r="G671" s="21">
        <v>0.331</v>
      </c>
      <c r="H671" s="21"/>
      <c r="I671" s="27"/>
      <c r="J671" s="23"/>
      <c r="K671" s="24" t="s">
        <v>4107</v>
      </c>
      <c r="L671" s="27"/>
    </row>
    <row r="672">
      <c r="A672" s="73" t="s">
        <v>5936</v>
      </c>
      <c r="B672" s="24" t="s">
        <v>1351</v>
      </c>
      <c r="C672" s="21" t="s">
        <v>4122</v>
      </c>
      <c r="D672" s="21" t="s">
        <v>4122</v>
      </c>
      <c r="E672" s="21">
        <v>0.09</v>
      </c>
      <c r="F672" s="21">
        <v>0.09</v>
      </c>
      <c r="G672" s="21">
        <v>0.331</v>
      </c>
      <c r="H672" s="21"/>
      <c r="I672" s="27"/>
      <c r="J672" s="23"/>
      <c r="K672" s="24" t="s">
        <v>4107</v>
      </c>
      <c r="L672" s="27"/>
    </row>
    <row r="673">
      <c r="A673" s="73" t="s">
        <v>5937</v>
      </c>
      <c r="B673" s="24" t="s">
        <v>626</v>
      </c>
      <c r="C673" s="21" t="s">
        <v>672</v>
      </c>
      <c r="D673" s="21" t="s">
        <v>672</v>
      </c>
      <c r="E673" s="21">
        <v>0.02</v>
      </c>
      <c r="F673" s="21">
        <v>0.16</v>
      </c>
      <c r="G673" s="21">
        <v>0.079</v>
      </c>
      <c r="H673" s="21"/>
      <c r="I673" s="27"/>
      <c r="J673" s="23"/>
      <c r="K673" s="24" t="s">
        <v>620</v>
      </c>
      <c r="L673" s="27"/>
    </row>
    <row r="674">
      <c r="A674" s="73" t="s">
        <v>5938</v>
      </c>
      <c r="B674" s="24" t="s">
        <v>626</v>
      </c>
      <c r="C674" s="21" t="s">
        <v>660</v>
      </c>
      <c r="D674" s="21" t="s">
        <v>660</v>
      </c>
      <c r="E674" s="21">
        <v>0.01</v>
      </c>
      <c r="F674" s="21">
        <v>0.16</v>
      </c>
      <c r="G674" s="21">
        <v>0.079</v>
      </c>
      <c r="H674" s="21"/>
      <c r="I674" s="27"/>
      <c r="J674" s="23"/>
      <c r="K674" s="24" t="s">
        <v>620</v>
      </c>
      <c r="L674" s="27"/>
    </row>
    <row r="675">
      <c r="A675" s="73" t="s">
        <v>5939</v>
      </c>
      <c r="B675" s="24" t="s">
        <v>626</v>
      </c>
      <c r="C675" s="21" t="s">
        <v>632</v>
      </c>
      <c r="D675" s="21" t="s">
        <v>632</v>
      </c>
      <c r="E675" s="21">
        <v>0.01</v>
      </c>
      <c r="F675" s="21">
        <v>0.16</v>
      </c>
      <c r="G675" s="21">
        <v>0.079</v>
      </c>
      <c r="H675" s="21"/>
      <c r="I675" s="27"/>
      <c r="J675" s="23"/>
      <c r="K675" s="24" t="s">
        <v>620</v>
      </c>
      <c r="L675" s="27"/>
    </row>
    <row r="676">
      <c r="A676" s="73" t="s">
        <v>5940</v>
      </c>
      <c r="B676" s="24" t="s">
        <v>626</v>
      </c>
      <c r="C676" s="21" t="s">
        <v>624</v>
      </c>
      <c r="D676" s="21" t="s">
        <v>624</v>
      </c>
      <c r="E676" s="21">
        <v>0.02</v>
      </c>
      <c r="F676" s="21">
        <v>0.16</v>
      </c>
      <c r="G676" s="21">
        <v>0.079</v>
      </c>
      <c r="H676" s="21"/>
      <c r="I676" s="27"/>
      <c r="J676" s="23"/>
      <c r="K676" s="24" t="s">
        <v>620</v>
      </c>
      <c r="L676" s="27"/>
    </row>
    <row r="677">
      <c r="A677" s="73" t="s">
        <v>5941</v>
      </c>
      <c r="B677" s="24" t="s">
        <v>626</v>
      </c>
      <c r="C677" s="21" t="s">
        <v>666</v>
      </c>
      <c r="D677" s="21" t="s">
        <v>666</v>
      </c>
      <c r="E677" s="21">
        <v>0.015</v>
      </c>
      <c r="F677" s="21">
        <v>0.135</v>
      </c>
      <c r="G677" s="21">
        <v>0.135</v>
      </c>
      <c r="H677" s="21"/>
      <c r="I677" s="27"/>
      <c r="J677" s="23"/>
      <c r="K677" s="24" t="s">
        <v>620</v>
      </c>
      <c r="L677" s="27"/>
    </row>
    <row r="678">
      <c r="A678" s="73" t="s">
        <v>5942</v>
      </c>
      <c r="B678" s="24" t="s">
        <v>626</v>
      </c>
      <c r="C678" s="21" t="s">
        <v>647</v>
      </c>
      <c r="D678" s="21" t="s">
        <v>647</v>
      </c>
      <c r="E678" s="21">
        <v>0.02</v>
      </c>
      <c r="F678" s="21">
        <v>0.04</v>
      </c>
      <c r="G678" s="21">
        <v>0.15</v>
      </c>
      <c r="H678" s="21"/>
      <c r="I678" s="27"/>
      <c r="J678" s="23"/>
      <c r="K678" s="24" t="s">
        <v>620</v>
      </c>
      <c r="L678" s="27"/>
    </row>
    <row r="679">
      <c r="A679" s="73" t="s">
        <v>5943</v>
      </c>
      <c r="B679" s="24" t="s">
        <v>626</v>
      </c>
      <c r="C679" s="21" t="s">
        <v>654</v>
      </c>
      <c r="D679" s="21" t="s">
        <v>654</v>
      </c>
      <c r="E679" s="21">
        <v>0.02</v>
      </c>
      <c r="F679" s="21">
        <v>0.16</v>
      </c>
      <c r="G679" s="21">
        <v>0.079</v>
      </c>
      <c r="H679" s="21"/>
      <c r="I679" s="27"/>
      <c r="J679" s="23"/>
      <c r="K679" s="24" t="s">
        <v>620</v>
      </c>
      <c r="L679" s="27"/>
    </row>
    <row r="680">
      <c r="A680" s="73" t="s">
        <v>5944</v>
      </c>
      <c r="B680" s="24" t="s">
        <v>626</v>
      </c>
      <c r="C680" s="21" t="s">
        <v>678</v>
      </c>
      <c r="D680" s="21" t="s">
        <v>678</v>
      </c>
      <c r="E680" s="21">
        <v>0.01</v>
      </c>
      <c r="F680" s="21">
        <v>0.16</v>
      </c>
      <c r="G680" s="21">
        <v>0.08</v>
      </c>
      <c r="H680" s="21"/>
      <c r="I680" s="27"/>
      <c r="J680" s="23"/>
      <c r="K680" s="24" t="s">
        <v>620</v>
      </c>
      <c r="L680" s="27"/>
    </row>
    <row r="681">
      <c r="A681" s="73" t="s">
        <v>5945</v>
      </c>
      <c r="B681" s="24" t="s">
        <v>626</v>
      </c>
      <c r="C681" s="21" t="s">
        <v>690</v>
      </c>
      <c r="D681" s="21" t="s">
        <v>690</v>
      </c>
      <c r="E681" s="21">
        <v>0.02</v>
      </c>
      <c r="F681" s="21">
        <v>0.16</v>
      </c>
      <c r="G681" s="21">
        <v>0.079</v>
      </c>
      <c r="H681" s="21"/>
      <c r="I681" s="27"/>
      <c r="J681" s="23"/>
      <c r="K681" s="24" t="s">
        <v>620</v>
      </c>
      <c r="L681" s="27"/>
    </row>
    <row r="682">
      <c r="A682" s="73" t="s">
        <v>5946</v>
      </c>
      <c r="B682" s="24" t="s">
        <v>641</v>
      </c>
      <c r="C682" s="21" t="s">
        <v>639</v>
      </c>
      <c r="D682" s="21" t="s">
        <v>639</v>
      </c>
      <c r="E682" s="21">
        <v>0.02</v>
      </c>
      <c r="F682" s="21">
        <v>0.16</v>
      </c>
      <c r="G682" s="21">
        <v>0.079</v>
      </c>
      <c r="H682" s="21"/>
      <c r="I682" s="27"/>
      <c r="J682" s="23"/>
      <c r="K682" s="24" t="s">
        <v>620</v>
      </c>
      <c r="L682" s="27"/>
    </row>
    <row r="683">
      <c r="A683" s="73" t="s">
        <v>5947</v>
      </c>
      <c r="B683" s="24" t="s">
        <v>641</v>
      </c>
      <c r="C683" s="21" t="s">
        <v>684</v>
      </c>
      <c r="D683" s="21" t="s">
        <v>684</v>
      </c>
      <c r="E683" s="21">
        <v>0.02</v>
      </c>
      <c r="F683" s="21">
        <v>0.16</v>
      </c>
      <c r="G683" s="21">
        <v>0.079</v>
      </c>
      <c r="H683" s="21"/>
      <c r="I683" s="27"/>
      <c r="J683" s="23"/>
      <c r="K683" s="24" t="s">
        <v>620</v>
      </c>
      <c r="L683" s="27"/>
    </row>
    <row r="684">
      <c r="A684" s="73" t="s">
        <v>5948</v>
      </c>
      <c r="B684" s="24" t="s">
        <v>2311</v>
      </c>
      <c r="C684" s="21" t="s">
        <v>2309</v>
      </c>
      <c r="D684" s="21" t="s">
        <v>2309</v>
      </c>
      <c r="E684" s="21">
        <v>0.075</v>
      </c>
      <c r="F684" s="21">
        <v>0.11</v>
      </c>
      <c r="G684" s="21">
        <v>0.09999999</v>
      </c>
      <c r="H684" s="21"/>
      <c r="I684" s="27"/>
      <c r="J684" s="23"/>
      <c r="K684" s="24" t="s">
        <v>2306</v>
      </c>
      <c r="L684" s="27"/>
    </row>
    <row r="685">
      <c r="A685" s="73" t="s">
        <v>5949</v>
      </c>
      <c r="B685" s="24" t="s">
        <v>62</v>
      </c>
      <c r="C685" s="21" t="s">
        <v>60</v>
      </c>
      <c r="D685" s="21" t="s">
        <v>60</v>
      </c>
      <c r="E685" s="21">
        <v>0.07</v>
      </c>
      <c r="F685" s="21">
        <v>0.075</v>
      </c>
      <c r="G685" s="21">
        <v>0.232</v>
      </c>
      <c r="H685" s="21"/>
      <c r="I685" s="27"/>
      <c r="J685" s="23"/>
      <c r="K685" s="32" t="s">
        <v>57</v>
      </c>
      <c r="L685" s="27"/>
    </row>
    <row r="686">
      <c r="A686" s="73" t="s">
        <v>5950</v>
      </c>
      <c r="B686" s="24" t="s">
        <v>71</v>
      </c>
      <c r="C686" s="21" t="s">
        <v>83</v>
      </c>
      <c r="D686" s="21" t="s">
        <v>83</v>
      </c>
      <c r="E686" s="21">
        <v>0.07</v>
      </c>
      <c r="F686" s="21">
        <v>0.08</v>
      </c>
      <c r="G686" s="21">
        <v>0.23</v>
      </c>
      <c r="H686" s="21"/>
      <c r="I686" s="27"/>
      <c r="J686" s="23"/>
      <c r="K686" s="32" t="s">
        <v>57</v>
      </c>
      <c r="L686" s="27"/>
    </row>
    <row r="687">
      <c r="A687" s="73" t="s">
        <v>5951</v>
      </c>
      <c r="B687" s="24" t="s">
        <v>71</v>
      </c>
      <c r="C687" s="21" t="s">
        <v>69</v>
      </c>
      <c r="D687" s="21" t="s">
        <v>69</v>
      </c>
      <c r="E687" s="21">
        <v>0.07</v>
      </c>
      <c r="F687" s="21">
        <v>0.08</v>
      </c>
      <c r="G687" s="21">
        <v>0.23</v>
      </c>
      <c r="H687" s="21"/>
      <c r="I687" s="27"/>
      <c r="J687" s="23"/>
      <c r="K687" s="32" t="s">
        <v>57</v>
      </c>
      <c r="L687" s="27"/>
    </row>
    <row r="688">
      <c r="A688" s="73" t="s">
        <v>5952</v>
      </c>
      <c r="B688" s="24" t="s">
        <v>62</v>
      </c>
      <c r="C688" s="21" t="s">
        <v>77</v>
      </c>
      <c r="D688" s="21" t="s">
        <v>77</v>
      </c>
      <c r="E688" s="21">
        <v>0.08</v>
      </c>
      <c r="F688" s="21">
        <v>0.08</v>
      </c>
      <c r="G688" s="21">
        <v>0.23</v>
      </c>
      <c r="H688" s="21"/>
      <c r="I688" s="27"/>
      <c r="J688" s="23"/>
      <c r="K688" s="32" t="s">
        <v>57</v>
      </c>
      <c r="L688" s="27"/>
    </row>
    <row r="689">
      <c r="A689" s="73" t="s">
        <v>5953</v>
      </c>
      <c r="B689" s="24" t="s">
        <v>93</v>
      </c>
      <c r="C689" s="21" t="s">
        <v>91</v>
      </c>
      <c r="D689" s="21" t="s">
        <v>91</v>
      </c>
      <c r="E689" s="21">
        <v>0.075</v>
      </c>
      <c r="F689" s="21">
        <v>0.06</v>
      </c>
      <c r="G689" s="21">
        <v>0.16</v>
      </c>
      <c r="H689" s="21"/>
      <c r="I689" s="27"/>
      <c r="J689" s="23"/>
      <c r="K689" s="32" t="s">
        <v>57</v>
      </c>
      <c r="L689" s="27"/>
    </row>
    <row r="690">
      <c r="A690" s="73" t="s">
        <v>5954</v>
      </c>
      <c r="B690" s="24" t="s">
        <v>93</v>
      </c>
      <c r="C690" s="21" t="s">
        <v>99</v>
      </c>
      <c r="D690" s="21" t="s">
        <v>99</v>
      </c>
      <c r="E690" s="21">
        <v>0.075</v>
      </c>
      <c r="F690" s="21">
        <v>0.06</v>
      </c>
      <c r="G690" s="21">
        <v>0.16</v>
      </c>
      <c r="H690" s="21"/>
      <c r="I690" s="27"/>
      <c r="J690" s="23"/>
      <c r="K690" s="32" t="s">
        <v>57</v>
      </c>
      <c r="L690" s="27"/>
    </row>
    <row r="691">
      <c r="A691" s="73" t="s">
        <v>5955</v>
      </c>
      <c r="B691" s="24" t="s">
        <v>552</v>
      </c>
      <c r="C691" s="21" t="s">
        <v>550</v>
      </c>
      <c r="D691" s="21" t="s">
        <v>550</v>
      </c>
      <c r="E691" s="21">
        <v>0.02</v>
      </c>
      <c r="F691" s="21">
        <v>0.09</v>
      </c>
      <c r="G691" s="21">
        <v>0.053</v>
      </c>
      <c r="H691" s="21"/>
      <c r="I691" s="27"/>
      <c r="J691" s="23"/>
      <c r="K691" s="32" t="s">
        <v>57</v>
      </c>
      <c r="L691" s="27"/>
    </row>
    <row r="692">
      <c r="A692" s="73" t="s">
        <v>5956</v>
      </c>
      <c r="B692" s="24" t="s">
        <v>700</v>
      </c>
      <c r="C692" s="21" t="s">
        <v>707</v>
      </c>
      <c r="D692" s="21" t="s">
        <v>707</v>
      </c>
      <c r="E692" s="21">
        <v>0.075</v>
      </c>
      <c r="F692" s="21">
        <v>0.08</v>
      </c>
      <c r="G692" s="21">
        <v>0.26</v>
      </c>
      <c r="H692" s="21"/>
      <c r="I692" s="27"/>
      <c r="J692" s="23"/>
      <c r="K692" s="32" t="s">
        <v>57</v>
      </c>
      <c r="L692" s="27"/>
    </row>
    <row r="693">
      <c r="A693" s="73" t="s">
        <v>5957</v>
      </c>
      <c r="B693" s="24" t="s">
        <v>907</v>
      </c>
      <c r="C693" s="21" t="s">
        <v>905</v>
      </c>
      <c r="D693" s="21" t="s">
        <v>905</v>
      </c>
      <c r="E693" s="21">
        <v>0.075</v>
      </c>
      <c r="F693" s="21">
        <v>0.08</v>
      </c>
      <c r="G693" s="21">
        <v>0.232</v>
      </c>
      <c r="H693" s="21"/>
      <c r="I693" s="27"/>
      <c r="J693" s="23"/>
      <c r="K693" s="32" t="s">
        <v>57</v>
      </c>
      <c r="L693" s="27"/>
    </row>
    <row r="694">
      <c r="A694" s="73" t="s">
        <v>5958</v>
      </c>
      <c r="B694" s="24" t="s">
        <v>975</v>
      </c>
      <c r="C694" s="21" t="s">
        <v>973</v>
      </c>
      <c r="D694" s="21" t="s">
        <v>973</v>
      </c>
      <c r="E694" s="21">
        <v>0.075</v>
      </c>
      <c r="F694" s="21">
        <v>0.07</v>
      </c>
      <c r="G694" s="21">
        <v>0.08</v>
      </c>
      <c r="H694" s="21"/>
      <c r="I694" s="27"/>
      <c r="J694" s="23"/>
      <c r="K694" s="32" t="s">
        <v>57</v>
      </c>
      <c r="L694" s="27"/>
    </row>
    <row r="695">
      <c r="A695" s="73" t="s">
        <v>5959</v>
      </c>
      <c r="B695" s="24" t="s">
        <v>700</v>
      </c>
      <c r="C695" s="21" t="s">
        <v>1706</v>
      </c>
      <c r="D695" s="21" t="s">
        <v>1706</v>
      </c>
      <c r="E695" s="21">
        <v>0.08</v>
      </c>
      <c r="F695" s="21">
        <v>0.055</v>
      </c>
      <c r="G695" s="21">
        <v>0.17</v>
      </c>
      <c r="H695" s="21"/>
      <c r="I695" s="27"/>
      <c r="J695" s="23"/>
      <c r="K695" s="32" t="s">
        <v>57</v>
      </c>
      <c r="L695" s="27"/>
    </row>
    <row r="696">
      <c r="A696" s="73" t="s">
        <v>5960</v>
      </c>
      <c r="B696" s="24" t="s">
        <v>700</v>
      </c>
      <c r="C696" s="21" t="s">
        <v>1712</v>
      </c>
      <c r="D696" s="21" t="s">
        <v>1712</v>
      </c>
      <c r="E696" s="21">
        <v>0.08</v>
      </c>
      <c r="F696" s="21">
        <v>0.055</v>
      </c>
      <c r="G696" s="21">
        <v>0.17</v>
      </c>
      <c r="H696" s="21"/>
      <c r="I696" s="27"/>
      <c r="J696" s="23"/>
      <c r="K696" s="32" t="s">
        <v>57</v>
      </c>
      <c r="L696" s="27"/>
    </row>
    <row r="697">
      <c r="A697" s="73" t="s">
        <v>5961</v>
      </c>
      <c r="B697" s="24" t="s">
        <v>700</v>
      </c>
      <c r="C697" s="21" t="s">
        <v>1725</v>
      </c>
      <c r="D697" s="21" t="s">
        <v>1725</v>
      </c>
      <c r="E697" s="21">
        <v>0.075</v>
      </c>
      <c r="F697" s="21">
        <v>0.07</v>
      </c>
      <c r="G697" s="21">
        <v>0.15</v>
      </c>
      <c r="H697" s="21"/>
      <c r="I697" s="27"/>
      <c r="J697" s="23"/>
      <c r="K697" s="32" t="s">
        <v>57</v>
      </c>
      <c r="L697" s="27"/>
    </row>
    <row r="698">
      <c r="A698" s="73" t="s">
        <v>5962</v>
      </c>
      <c r="B698" s="24" t="s">
        <v>907</v>
      </c>
      <c r="C698" s="21" t="s">
        <v>2783</v>
      </c>
      <c r="D698" s="21" t="s">
        <v>2783</v>
      </c>
      <c r="E698" s="21">
        <v>0.07</v>
      </c>
      <c r="F698" s="21">
        <v>0.075</v>
      </c>
      <c r="G698" s="21">
        <v>0.232</v>
      </c>
      <c r="H698" s="21"/>
      <c r="I698" s="27"/>
      <c r="J698" s="23"/>
      <c r="K698" s="32" t="s">
        <v>57</v>
      </c>
      <c r="L698" s="27"/>
    </row>
    <row r="699">
      <c r="A699" s="73" t="s">
        <v>5963</v>
      </c>
      <c r="B699" s="24" t="s">
        <v>907</v>
      </c>
      <c r="C699" s="21" t="s">
        <v>2798</v>
      </c>
      <c r="D699" s="21" t="s">
        <v>2798</v>
      </c>
      <c r="E699" s="21">
        <v>0.07</v>
      </c>
      <c r="F699" s="21">
        <v>0.075</v>
      </c>
      <c r="G699" s="21">
        <v>0.232</v>
      </c>
      <c r="H699" s="21"/>
      <c r="I699" s="27"/>
      <c r="J699" s="23"/>
      <c r="K699" s="32" t="s">
        <v>57</v>
      </c>
      <c r="L699" s="27"/>
    </row>
    <row r="700">
      <c r="A700" s="73" t="s">
        <v>5964</v>
      </c>
      <c r="B700" s="24" t="s">
        <v>2311</v>
      </c>
      <c r="C700" s="21" t="s">
        <v>3476</v>
      </c>
      <c r="D700" s="21" t="s">
        <v>3476</v>
      </c>
      <c r="E700" s="21">
        <v>0.11</v>
      </c>
      <c r="F700" s="21">
        <v>0.11</v>
      </c>
      <c r="G700" s="21">
        <v>0.09999999</v>
      </c>
      <c r="H700" s="21"/>
      <c r="I700" s="27"/>
      <c r="J700" s="23"/>
      <c r="K700" s="32" t="s">
        <v>57</v>
      </c>
      <c r="L700" s="27"/>
    </row>
    <row r="701">
      <c r="A701" s="73" t="s">
        <v>5965</v>
      </c>
      <c r="B701" s="24" t="s">
        <v>700</v>
      </c>
      <c r="C701" s="21" t="s">
        <v>4760</v>
      </c>
      <c r="D701" s="21" t="s">
        <v>4760</v>
      </c>
      <c r="E701" s="21">
        <v>0.06</v>
      </c>
      <c r="F701" s="21">
        <v>0.06</v>
      </c>
      <c r="G701" s="21">
        <v>0.17</v>
      </c>
      <c r="H701" s="21"/>
      <c r="I701" s="27"/>
      <c r="J701" s="23"/>
      <c r="K701" s="32" t="s">
        <v>57</v>
      </c>
      <c r="L701" s="27"/>
    </row>
    <row r="702">
      <c r="A702" s="73" t="s">
        <v>5966</v>
      </c>
      <c r="B702" s="24" t="s">
        <v>700</v>
      </c>
      <c r="C702" s="21" t="s">
        <v>4754</v>
      </c>
      <c r="D702" s="21" t="s">
        <v>4754</v>
      </c>
      <c r="E702" s="21">
        <v>0.07</v>
      </c>
      <c r="F702" s="21">
        <v>0.06</v>
      </c>
      <c r="G702" s="21">
        <v>0.17</v>
      </c>
      <c r="H702" s="21"/>
      <c r="I702" s="27"/>
      <c r="J702" s="23"/>
      <c r="K702" s="32" t="s">
        <v>57</v>
      </c>
      <c r="L702" s="27"/>
    </row>
    <row r="703">
      <c r="A703" s="73" t="s">
        <v>5967</v>
      </c>
      <c r="B703" s="24" t="s">
        <v>700</v>
      </c>
      <c r="C703" s="21" t="s">
        <v>4748</v>
      </c>
      <c r="D703" s="21" t="s">
        <v>4748</v>
      </c>
      <c r="E703" s="21">
        <v>0.06</v>
      </c>
      <c r="F703" s="21">
        <v>0.06</v>
      </c>
      <c r="G703" s="21">
        <v>0.17</v>
      </c>
      <c r="H703" s="21"/>
      <c r="I703" s="27"/>
      <c r="J703" s="23"/>
      <c r="K703" s="32" t="s">
        <v>57</v>
      </c>
      <c r="L703" s="27"/>
    </row>
    <row r="704">
      <c r="A704" s="73" t="s">
        <v>5968</v>
      </c>
      <c r="B704" s="24" t="s">
        <v>4279</v>
      </c>
      <c r="C704" s="21" t="s">
        <v>4882</v>
      </c>
      <c r="D704" s="21" t="s">
        <v>4882</v>
      </c>
      <c r="E704" s="21">
        <v>0.08</v>
      </c>
      <c r="F704" s="21">
        <v>0.09</v>
      </c>
      <c r="G704" s="21">
        <v>0.09</v>
      </c>
      <c r="H704" s="21"/>
      <c r="I704" s="27"/>
      <c r="J704" s="23"/>
      <c r="K704" s="32" t="s">
        <v>57</v>
      </c>
      <c r="L704" s="27"/>
    </row>
    <row r="705">
      <c r="A705" s="73" t="s">
        <v>5969</v>
      </c>
      <c r="B705" s="24"/>
      <c r="C705" s="21" t="s">
        <v>981</v>
      </c>
      <c r="D705" s="21" t="s">
        <v>981</v>
      </c>
      <c r="E705" s="21">
        <v>0.06</v>
      </c>
      <c r="F705" s="21">
        <v>0.083</v>
      </c>
      <c r="G705" s="21">
        <v>0.065</v>
      </c>
      <c r="H705" s="21"/>
      <c r="I705" s="27"/>
      <c r="J705" s="23"/>
      <c r="K705" s="32" t="s">
        <v>57</v>
      </c>
      <c r="L705" s="27"/>
    </row>
    <row r="706">
      <c r="A706" s="73" t="s">
        <v>5970</v>
      </c>
      <c r="B706" s="24" t="s">
        <v>718</v>
      </c>
      <c r="C706" s="21" t="s">
        <v>4656</v>
      </c>
      <c r="D706" s="21" t="s">
        <v>4656</v>
      </c>
      <c r="E706" s="21">
        <v>0.066</v>
      </c>
      <c r="F706" s="21">
        <v>0.066</v>
      </c>
      <c r="G706" s="21">
        <v>0.196</v>
      </c>
      <c r="H706" s="21"/>
      <c r="I706" s="27"/>
      <c r="J706" s="23"/>
      <c r="K706" s="24" t="s">
        <v>4653</v>
      </c>
      <c r="L706" s="27"/>
    </row>
    <row r="707">
      <c r="A707" s="73" t="s">
        <v>5971</v>
      </c>
      <c r="B707" s="24" t="s">
        <v>718</v>
      </c>
      <c r="C707" s="21" t="s">
        <v>4674</v>
      </c>
      <c r="D707" s="21" t="s">
        <v>4674</v>
      </c>
      <c r="E707" s="21">
        <v>0.066</v>
      </c>
      <c r="F707" s="21">
        <v>0.066</v>
      </c>
      <c r="G707" s="21">
        <v>0.196</v>
      </c>
      <c r="H707" s="21"/>
      <c r="I707" s="27"/>
      <c r="J707" s="23"/>
      <c r="K707" s="24" t="s">
        <v>4653</v>
      </c>
      <c r="L707" s="27"/>
    </row>
    <row r="708">
      <c r="A708" s="73" t="s">
        <v>5972</v>
      </c>
      <c r="B708" s="24" t="s">
        <v>718</v>
      </c>
      <c r="C708" s="21" t="s">
        <v>4662</v>
      </c>
      <c r="D708" s="21" t="s">
        <v>4662</v>
      </c>
      <c r="E708" s="21">
        <v>0.09</v>
      </c>
      <c r="F708" s="21">
        <v>0.09</v>
      </c>
      <c r="G708" s="21">
        <v>0.316</v>
      </c>
      <c r="H708" s="21"/>
      <c r="I708" s="27"/>
      <c r="J708" s="23"/>
      <c r="K708" s="24" t="s">
        <v>4653</v>
      </c>
      <c r="L708" s="27"/>
    </row>
    <row r="709">
      <c r="A709" s="73" t="s">
        <v>5973</v>
      </c>
      <c r="B709" s="24" t="s">
        <v>718</v>
      </c>
      <c r="C709" s="21" t="s">
        <v>4668</v>
      </c>
      <c r="D709" s="21" t="s">
        <v>4668</v>
      </c>
      <c r="E709" s="21">
        <v>0.09</v>
      </c>
      <c r="F709" s="21">
        <v>0.09</v>
      </c>
      <c r="G709" s="21">
        <v>0.316</v>
      </c>
      <c r="H709" s="21"/>
      <c r="I709" s="27"/>
      <c r="J709" s="23"/>
      <c r="K709" s="24" t="s">
        <v>4653</v>
      </c>
      <c r="L709" s="27"/>
    </row>
    <row r="710">
      <c r="A710" s="73" t="s">
        <v>5974</v>
      </c>
      <c r="B710" s="24" t="s">
        <v>109</v>
      </c>
      <c r="C710" s="21" t="s">
        <v>4574</v>
      </c>
      <c r="D710" s="21" t="s">
        <v>4574</v>
      </c>
      <c r="E710" s="21">
        <v>0.06</v>
      </c>
      <c r="F710" s="21">
        <v>0.133</v>
      </c>
      <c r="G710" s="21">
        <v>0.18</v>
      </c>
      <c r="H710" s="21"/>
      <c r="I710" s="27"/>
      <c r="J710" s="23"/>
      <c r="K710" s="24" t="s">
        <v>4561</v>
      </c>
      <c r="L710" s="27"/>
    </row>
    <row r="711">
      <c r="A711" s="73" t="s">
        <v>5975</v>
      </c>
      <c r="B711" s="24" t="s">
        <v>109</v>
      </c>
      <c r="C711" s="21" t="s">
        <v>4564</v>
      </c>
      <c r="D711" s="21" t="s">
        <v>4564</v>
      </c>
      <c r="E711" s="21">
        <v>0.06</v>
      </c>
      <c r="F711" s="21">
        <v>0.1675</v>
      </c>
      <c r="G711" s="21">
        <v>0.3</v>
      </c>
      <c r="H711" s="21"/>
      <c r="I711" s="27"/>
      <c r="J711" s="23"/>
      <c r="K711" s="24" t="s">
        <v>4561</v>
      </c>
      <c r="L711" s="27"/>
    </row>
    <row r="712">
      <c r="A712" s="73" t="s">
        <v>5976</v>
      </c>
      <c r="B712" s="24" t="s">
        <v>109</v>
      </c>
      <c r="C712" s="21" t="s">
        <v>4585</v>
      </c>
      <c r="D712" s="21" t="s">
        <v>4585</v>
      </c>
      <c r="E712" s="21">
        <v>0.06</v>
      </c>
      <c r="F712" s="21">
        <v>0.1675</v>
      </c>
      <c r="G712" s="21">
        <v>0.3</v>
      </c>
      <c r="H712" s="21"/>
      <c r="I712" s="27"/>
      <c r="J712" s="23"/>
      <c r="K712" s="24" t="s">
        <v>4561</v>
      </c>
      <c r="L712" s="27"/>
    </row>
    <row r="713">
      <c r="A713" s="73" t="s">
        <v>5977</v>
      </c>
      <c r="B713" s="24" t="s">
        <v>109</v>
      </c>
      <c r="C713" s="21" t="s">
        <v>4590</v>
      </c>
      <c r="D713" s="21" t="s">
        <v>4590</v>
      </c>
      <c r="E713" s="21">
        <v>0.06</v>
      </c>
      <c r="F713" s="21">
        <v>0.14</v>
      </c>
      <c r="G713" s="21">
        <v>0.175</v>
      </c>
      <c r="H713" s="21"/>
      <c r="I713" s="27"/>
      <c r="J713" s="23"/>
      <c r="K713" s="24" t="s">
        <v>4561</v>
      </c>
      <c r="L713" s="27"/>
    </row>
    <row r="714">
      <c r="A714" s="73" t="s">
        <v>5978</v>
      </c>
      <c r="B714" s="24" t="s">
        <v>109</v>
      </c>
      <c r="C714" s="21" t="s">
        <v>4580</v>
      </c>
      <c r="D714" s="21" t="s">
        <v>4580</v>
      </c>
      <c r="E714" s="21">
        <v>0.06</v>
      </c>
      <c r="F714" s="21">
        <v>0.133</v>
      </c>
      <c r="G714" s="21">
        <v>0.18</v>
      </c>
      <c r="H714" s="21"/>
      <c r="I714" s="27"/>
      <c r="J714" s="23"/>
      <c r="K714" s="24" t="s">
        <v>4561</v>
      </c>
      <c r="L714" s="27"/>
    </row>
    <row r="715">
      <c r="A715" s="73" t="s">
        <v>5979</v>
      </c>
      <c r="B715" s="24" t="s">
        <v>109</v>
      </c>
      <c r="C715" s="21" t="s">
        <v>4569</v>
      </c>
      <c r="D715" s="21" t="s">
        <v>4569</v>
      </c>
      <c r="E715" s="21">
        <v>0.06</v>
      </c>
      <c r="F715" s="21">
        <v>0.1675</v>
      </c>
      <c r="G715" s="21">
        <v>0.3</v>
      </c>
      <c r="H715" s="21"/>
      <c r="I715" s="27"/>
      <c r="J715" s="23"/>
      <c r="K715" s="24" t="s">
        <v>4561</v>
      </c>
      <c r="L715" s="27"/>
    </row>
    <row r="716">
      <c r="A716" s="73" t="s">
        <v>5980</v>
      </c>
      <c r="B716" s="24" t="s">
        <v>109</v>
      </c>
      <c r="C716" s="21" t="s">
        <v>4596</v>
      </c>
      <c r="D716" s="21" t="s">
        <v>4596</v>
      </c>
      <c r="E716" s="21">
        <v>0.06</v>
      </c>
      <c r="F716" s="21">
        <v>0.133</v>
      </c>
      <c r="G716" s="21">
        <v>0.18</v>
      </c>
      <c r="H716" s="21"/>
      <c r="I716" s="27"/>
      <c r="J716" s="23"/>
      <c r="K716" s="24" t="s">
        <v>4561</v>
      </c>
      <c r="L716" s="27"/>
    </row>
    <row r="717">
      <c r="A717" s="73" t="s">
        <v>5981</v>
      </c>
      <c r="B717" s="24" t="s">
        <v>109</v>
      </c>
      <c r="C717" s="21" t="s">
        <v>4607</v>
      </c>
      <c r="D717" s="21" t="s">
        <v>4607</v>
      </c>
      <c r="E717" s="21">
        <v>0.043</v>
      </c>
      <c r="F717" s="21">
        <v>0.13</v>
      </c>
      <c r="G717" s="21">
        <v>0.18</v>
      </c>
      <c r="H717" s="21"/>
      <c r="I717" s="27"/>
      <c r="J717" s="23"/>
      <c r="K717" s="24" t="s">
        <v>4561</v>
      </c>
      <c r="L717" s="27"/>
    </row>
    <row r="718">
      <c r="A718" s="73" t="s">
        <v>5982</v>
      </c>
      <c r="B718" s="24" t="s">
        <v>109</v>
      </c>
      <c r="C718" s="21" t="s">
        <v>4602</v>
      </c>
      <c r="D718" s="21" t="s">
        <v>4602</v>
      </c>
      <c r="E718" s="21">
        <v>0.05</v>
      </c>
      <c r="F718" s="21">
        <v>0.13</v>
      </c>
      <c r="G718" s="21">
        <v>0.18</v>
      </c>
      <c r="H718" s="21"/>
      <c r="I718" s="27"/>
      <c r="J718" s="23"/>
      <c r="K718" s="24" t="s">
        <v>4561</v>
      </c>
      <c r="L718" s="27"/>
    </row>
    <row r="719">
      <c r="A719" s="73" t="s">
        <v>5983</v>
      </c>
      <c r="B719" s="24" t="s">
        <v>109</v>
      </c>
      <c r="C719" s="21" t="s">
        <v>4624</v>
      </c>
      <c r="D719" s="21" t="s">
        <v>4624</v>
      </c>
      <c r="E719" s="21">
        <v>0.06</v>
      </c>
      <c r="F719" s="21">
        <v>0.1675</v>
      </c>
      <c r="G719" s="21">
        <v>0.3</v>
      </c>
      <c r="H719" s="21"/>
      <c r="I719" s="27"/>
      <c r="J719" s="23"/>
      <c r="K719" s="24" t="s">
        <v>4561</v>
      </c>
      <c r="L719" s="27"/>
    </row>
    <row r="720">
      <c r="A720" s="73" t="s">
        <v>5984</v>
      </c>
      <c r="B720" s="24" t="s">
        <v>109</v>
      </c>
      <c r="C720" s="21" t="s">
        <v>4630</v>
      </c>
      <c r="D720" s="21" t="s">
        <v>4630</v>
      </c>
      <c r="E720" s="21">
        <v>0.06</v>
      </c>
      <c r="F720" s="21">
        <v>0.133</v>
      </c>
      <c r="G720" s="21">
        <v>0.18</v>
      </c>
      <c r="H720" s="21"/>
      <c r="I720" s="27"/>
      <c r="J720" s="23"/>
      <c r="K720" s="24" t="s">
        <v>4561</v>
      </c>
      <c r="L720" s="27"/>
    </row>
    <row r="721">
      <c r="A721" s="73" t="s">
        <v>5985</v>
      </c>
      <c r="B721" s="24" t="s">
        <v>109</v>
      </c>
      <c r="C721" s="21" t="s">
        <v>4648</v>
      </c>
      <c r="D721" s="21" t="s">
        <v>4648</v>
      </c>
      <c r="E721" s="21">
        <v>0.045</v>
      </c>
      <c r="F721" s="21">
        <v>0.14</v>
      </c>
      <c r="G721" s="21">
        <v>0.175</v>
      </c>
      <c r="H721" s="21"/>
      <c r="I721" s="27"/>
      <c r="J721" s="23"/>
      <c r="K721" s="24" t="s">
        <v>4561</v>
      </c>
      <c r="L721" s="27"/>
    </row>
    <row r="722">
      <c r="A722" s="73" t="s">
        <v>5986</v>
      </c>
      <c r="B722" s="24" t="s">
        <v>109</v>
      </c>
      <c r="C722" s="21" t="s">
        <v>4618</v>
      </c>
      <c r="D722" s="21" t="s">
        <v>4618</v>
      </c>
      <c r="E722" s="21">
        <v>0.06</v>
      </c>
      <c r="F722" s="21">
        <v>0.133</v>
      </c>
      <c r="G722" s="21">
        <v>0.18</v>
      </c>
      <c r="H722" s="21"/>
      <c r="I722" s="27"/>
      <c r="J722" s="23"/>
      <c r="K722" s="24" t="s">
        <v>4561</v>
      </c>
      <c r="L722" s="27"/>
    </row>
    <row r="723">
      <c r="A723" s="73" t="s">
        <v>5987</v>
      </c>
      <c r="B723" s="24" t="s">
        <v>109</v>
      </c>
      <c r="C723" s="21" t="s">
        <v>4636</v>
      </c>
      <c r="D723" s="21" t="s">
        <v>4636</v>
      </c>
      <c r="E723" s="21">
        <v>0.06</v>
      </c>
      <c r="F723" s="21">
        <v>0.1675</v>
      </c>
      <c r="G723" s="21">
        <v>0.3</v>
      </c>
      <c r="H723" s="21"/>
      <c r="I723" s="27"/>
      <c r="J723" s="23"/>
      <c r="K723" s="24" t="s">
        <v>4561</v>
      </c>
      <c r="L723" s="27"/>
    </row>
    <row r="724">
      <c r="A724" s="73" t="s">
        <v>5988</v>
      </c>
      <c r="B724" s="24" t="s">
        <v>109</v>
      </c>
      <c r="C724" s="21" t="s">
        <v>4642</v>
      </c>
      <c r="D724" s="21" t="s">
        <v>4642</v>
      </c>
      <c r="E724" s="21">
        <v>0.06</v>
      </c>
      <c r="F724" s="21">
        <v>0.133</v>
      </c>
      <c r="G724" s="21">
        <v>0.18</v>
      </c>
      <c r="H724" s="21"/>
      <c r="I724" s="27"/>
      <c r="J724" s="23"/>
      <c r="K724" s="24" t="s">
        <v>4561</v>
      </c>
      <c r="L724" s="27"/>
    </row>
    <row r="725">
      <c r="A725" s="73" t="s">
        <v>5989</v>
      </c>
      <c r="B725" s="24" t="s">
        <v>109</v>
      </c>
      <c r="C725" s="21" t="s">
        <v>4612</v>
      </c>
      <c r="D725" s="21" t="s">
        <v>4612</v>
      </c>
      <c r="E725" s="21">
        <v>0.06</v>
      </c>
      <c r="F725" s="21">
        <v>0.133</v>
      </c>
      <c r="G725" s="21">
        <v>0.18</v>
      </c>
      <c r="H725" s="21"/>
      <c r="I725" s="27"/>
      <c r="J725" s="23"/>
      <c r="K725" s="24" t="s">
        <v>4561</v>
      </c>
      <c r="L725" s="27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  <row r="1001">
      <c r="A1001" s="74"/>
    </row>
    <row r="1002">
      <c r="A1002" s="74"/>
    </row>
    <row r="1003">
      <c r="A1003" s="74"/>
    </row>
    <row r="1004">
      <c r="A1004" s="74"/>
    </row>
    <row r="1005">
      <c r="A1005" s="74"/>
    </row>
    <row r="1006">
      <c r="A1006" s="74"/>
    </row>
    <row r="1007">
      <c r="A1007" s="74"/>
    </row>
    <row r="1008">
      <c r="A1008" s="74"/>
    </row>
    <row r="1009">
      <c r="A1009" s="74"/>
    </row>
    <row r="1010">
      <c r="A1010" s="74"/>
    </row>
    <row r="1011">
      <c r="A1011" s="74"/>
    </row>
    <row r="1012">
      <c r="A1012" s="74"/>
    </row>
    <row r="1013">
      <c r="A1013" s="74"/>
    </row>
    <row r="1014">
      <c r="A1014" s="74"/>
    </row>
    <row r="1015">
      <c r="A1015" s="74"/>
    </row>
    <row r="1016">
      <c r="A1016" s="74"/>
    </row>
    <row r="1017">
      <c r="A1017" s="74"/>
    </row>
    <row r="1018">
      <c r="A1018" s="74"/>
    </row>
    <row r="1019">
      <c r="A1019" s="74"/>
    </row>
    <row r="1020">
      <c r="A1020" s="74"/>
    </row>
    <row r="1021">
      <c r="A1021" s="74"/>
    </row>
    <row r="1022">
      <c r="A1022" s="74"/>
    </row>
    <row r="1023">
      <c r="A1023" s="74"/>
    </row>
    <row r="1024">
      <c r="A1024" s="74"/>
    </row>
    <row r="1025">
      <c r="A1025" s="74"/>
    </row>
    <row r="1026">
      <c r="A1026" s="74"/>
    </row>
    <row r="1027">
      <c r="A1027" s="74"/>
    </row>
    <row r="1028">
      <c r="A1028" s="74"/>
    </row>
    <row r="1029">
      <c r="A1029" s="74"/>
    </row>
    <row r="1030">
      <c r="A1030" s="74"/>
    </row>
    <row r="1031">
      <c r="A1031" s="74"/>
    </row>
    <row r="1032">
      <c r="A1032" s="74"/>
    </row>
    <row r="1033">
      <c r="A1033" s="74"/>
    </row>
    <row r="1034">
      <c r="A1034" s="74"/>
    </row>
    <row r="1035">
      <c r="A1035" s="74"/>
    </row>
    <row r="1036">
      <c r="A1036" s="74"/>
    </row>
    <row r="1037">
      <c r="A1037" s="74"/>
    </row>
    <row r="1038">
      <c r="A1038" s="74"/>
    </row>
    <row r="1039">
      <c r="A1039" s="74"/>
    </row>
    <row r="1040">
      <c r="A1040" s="74"/>
    </row>
    <row r="1041">
      <c r="A1041" s="74"/>
    </row>
    <row r="1042">
      <c r="A1042" s="74"/>
    </row>
    <row r="1043">
      <c r="A1043" s="74"/>
    </row>
    <row r="1044">
      <c r="A1044" s="74"/>
    </row>
    <row r="1045">
      <c r="A1045" s="74"/>
    </row>
    <row r="1046">
      <c r="A1046" s="74"/>
    </row>
    <row r="1047">
      <c r="A1047" s="74"/>
    </row>
    <row r="1048">
      <c r="A1048" s="74"/>
    </row>
    <row r="1049">
      <c r="A1049" s="74"/>
    </row>
    <row r="1050">
      <c r="A1050" s="74"/>
    </row>
    <row r="1051">
      <c r="A1051" s="74"/>
    </row>
    <row r="1052">
      <c r="A1052" s="74"/>
    </row>
    <row r="1053">
      <c r="A1053" s="74"/>
    </row>
    <row r="1054">
      <c r="A1054" s="74"/>
    </row>
    <row r="1055">
      <c r="A1055" s="74"/>
    </row>
    <row r="1056">
      <c r="A1056" s="74"/>
    </row>
    <row r="1057">
      <c r="A1057" s="74"/>
    </row>
    <row r="1058">
      <c r="A1058" s="74"/>
    </row>
    <row r="1059">
      <c r="A1059" s="74"/>
    </row>
    <row r="1060">
      <c r="A1060" s="74"/>
    </row>
    <row r="1061">
      <c r="A1061" s="74"/>
    </row>
    <row r="1062">
      <c r="A1062" s="74"/>
    </row>
    <row r="1063">
      <c r="A1063" s="74"/>
    </row>
    <row r="1064">
      <c r="A1064" s="74"/>
    </row>
    <row r="1065">
      <c r="A1065" s="74"/>
    </row>
    <row r="1066">
      <c r="A1066" s="74"/>
    </row>
    <row r="1067">
      <c r="A1067" s="74"/>
    </row>
    <row r="1068">
      <c r="A1068" s="74"/>
    </row>
    <row r="1069">
      <c r="A1069" s="74"/>
    </row>
    <row r="1070">
      <c r="A1070" s="74"/>
    </row>
    <row r="1071">
      <c r="A1071" s="74"/>
    </row>
    <row r="1072">
      <c r="A1072" s="74"/>
    </row>
    <row r="1073">
      <c r="A1073" s="74"/>
    </row>
    <row r="1074">
      <c r="A1074" s="74"/>
    </row>
    <row r="1075">
      <c r="A1075" s="74"/>
    </row>
    <row r="1076">
      <c r="A1076" s="74"/>
    </row>
    <row r="1077">
      <c r="A1077" s="74"/>
    </row>
    <row r="1078">
      <c r="A1078" s="74"/>
    </row>
    <row r="1079">
      <c r="A1079" s="74"/>
    </row>
    <row r="1080">
      <c r="A1080" s="74"/>
    </row>
    <row r="1081">
      <c r="A1081" s="74"/>
    </row>
    <row r="1082">
      <c r="A1082" s="74"/>
    </row>
    <row r="1083">
      <c r="A1083" s="74"/>
    </row>
    <row r="1084">
      <c r="A1084" s="74"/>
    </row>
    <row r="1085">
      <c r="A1085" s="74"/>
    </row>
    <row r="1086">
      <c r="A1086" s="74"/>
    </row>
    <row r="1087">
      <c r="A1087" s="74"/>
    </row>
    <row r="1088">
      <c r="A1088" s="74"/>
    </row>
    <row r="1089">
      <c r="A1089" s="74"/>
    </row>
    <row r="1090">
      <c r="A1090" s="74"/>
    </row>
    <row r="1091">
      <c r="A1091" s="74"/>
    </row>
    <row r="1092">
      <c r="A1092" s="74"/>
    </row>
    <row r="1093">
      <c r="A1093" s="74"/>
    </row>
    <row r="1094">
      <c r="A1094" s="74"/>
    </row>
    <row r="1095">
      <c r="A1095" s="74"/>
    </row>
    <row r="1096">
      <c r="A1096" s="74"/>
    </row>
    <row r="1097">
      <c r="A1097" s="74"/>
    </row>
    <row r="1098">
      <c r="A1098" s="74"/>
    </row>
    <row r="1099">
      <c r="A1099" s="74"/>
    </row>
    <row r="1100">
      <c r="A1100" s="74"/>
    </row>
    <row r="1101">
      <c r="A1101" s="74"/>
    </row>
    <row r="1102">
      <c r="A1102" s="74"/>
    </row>
    <row r="1103">
      <c r="A1103" s="74"/>
    </row>
    <row r="1104">
      <c r="A1104" s="74"/>
    </row>
    <row r="1105">
      <c r="A1105" s="74"/>
    </row>
    <row r="1106">
      <c r="A1106" s="74"/>
    </row>
    <row r="1107">
      <c r="A1107" s="74"/>
    </row>
    <row r="1108">
      <c r="A1108" s="74"/>
    </row>
    <row r="1109">
      <c r="A1109" s="74"/>
    </row>
    <row r="1110">
      <c r="A1110" s="74"/>
    </row>
    <row r="1111">
      <c r="A1111" s="74"/>
    </row>
    <row r="1112">
      <c r="A1112" s="74"/>
    </row>
    <row r="1113">
      <c r="A1113" s="74"/>
    </row>
    <row r="1114">
      <c r="A1114" s="74"/>
    </row>
    <row r="1115">
      <c r="A1115" s="74"/>
    </row>
    <row r="1116">
      <c r="A1116" s="74"/>
    </row>
    <row r="1117">
      <c r="A1117" s="74"/>
    </row>
    <row r="1118">
      <c r="A1118" s="74"/>
    </row>
    <row r="1119">
      <c r="A1119" s="74"/>
    </row>
    <row r="1120">
      <c r="A1120" s="74"/>
    </row>
    <row r="1121">
      <c r="A1121" s="74"/>
    </row>
    <row r="1122">
      <c r="A1122" s="74"/>
    </row>
    <row r="1123">
      <c r="A1123" s="74"/>
    </row>
    <row r="1124">
      <c r="A1124" s="74"/>
    </row>
    <row r="1125">
      <c r="A1125" s="74"/>
    </row>
    <row r="1126">
      <c r="A1126" s="74"/>
    </row>
    <row r="1127">
      <c r="A1127" s="74"/>
    </row>
    <row r="1128">
      <c r="A1128" s="74"/>
    </row>
    <row r="1129">
      <c r="A1129" s="74"/>
    </row>
    <row r="1130">
      <c r="A1130" s="74"/>
    </row>
    <row r="1131">
      <c r="A1131" s="74"/>
    </row>
    <row r="1132">
      <c r="A1132" s="74"/>
    </row>
    <row r="1133">
      <c r="A1133" s="74"/>
    </row>
    <row r="1134">
      <c r="A1134" s="74"/>
    </row>
    <row r="1135">
      <c r="A1135" s="74"/>
    </row>
    <row r="1136">
      <c r="A1136" s="74"/>
    </row>
    <row r="1137">
      <c r="A1137" s="74"/>
    </row>
    <row r="1138">
      <c r="A1138" s="74"/>
    </row>
    <row r="1139">
      <c r="A1139" s="74"/>
    </row>
    <row r="1140">
      <c r="A1140" s="74"/>
    </row>
    <row r="1141">
      <c r="A1141" s="74"/>
    </row>
    <row r="1142">
      <c r="A1142" s="74"/>
    </row>
    <row r="1143">
      <c r="A1143" s="74"/>
    </row>
    <row r="1144">
      <c r="A1144" s="74"/>
    </row>
    <row r="1145">
      <c r="A1145" s="74"/>
    </row>
    <row r="1146">
      <c r="A1146" s="74"/>
    </row>
    <row r="1147">
      <c r="A1147" s="74"/>
    </row>
    <row r="1148">
      <c r="A1148" s="74"/>
    </row>
    <row r="1149">
      <c r="A1149" s="74"/>
    </row>
    <row r="1150">
      <c r="A1150" s="74"/>
    </row>
    <row r="1151">
      <c r="A1151" s="74"/>
    </row>
    <row r="1152">
      <c r="A1152" s="74"/>
    </row>
    <row r="1153">
      <c r="A1153" s="74"/>
    </row>
    <row r="1154">
      <c r="A1154" s="74"/>
    </row>
    <row r="1155">
      <c r="A1155" s="74"/>
    </row>
    <row r="1156">
      <c r="A1156" s="74"/>
    </row>
    <row r="1157">
      <c r="A1157" s="74"/>
    </row>
    <row r="1158">
      <c r="A1158" s="74"/>
    </row>
    <row r="1159">
      <c r="A1159" s="74"/>
    </row>
    <row r="1160">
      <c r="A1160" s="74"/>
    </row>
    <row r="1161">
      <c r="A1161" s="74"/>
    </row>
    <row r="1162">
      <c r="A1162" s="74"/>
    </row>
    <row r="1163">
      <c r="A1163" s="74"/>
    </row>
    <row r="1164">
      <c r="A1164" s="74"/>
    </row>
    <row r="1165">
      <c r="A1165" s="74"/>
    </row>
    <row r="1166">
      <c r="A1166" s="74"/>
    </row>
    <row r="1167">
      <c r="A1167" s="74"/>
    </row>
    <row r="1168">
      <c r="A1168" s="74"/>
    </row>
    <row r="1169">
      <c r="A1169" s="74"/>
    </row>
    <row r="1170">
      <c r="A1170" s="74"/>
    </row>
    <row r="1171">
      <c r="A1171" s="74"/>
    </row>
    <row r="1172">
      <c r="A1172" s="74"/>
    </row>
    <row r="1173">
      <c r="A1173" s="74"/>
    </row>
    <row r="1174">
      <c r="A1174" s="74"/>
    </row>
    <row r="1175">
      <c r="A1175" s="74"/>
    </row>
    <row r="1176">
      <c r="A1176" s="74"/>
    </row>
    <row r="1177">
      <c r="A1177" s="74"/>
    </row>
    <row r="1178">
      <c r="A1178" s="74"/>
    </row>
    <row r="1179">
      <c r="A1179" s="74"/>
    </row>
    <row r="1180">
      <c r="A1180" s="74"/>
    </row>
    <row r="1181">
      <c r="A1181" s="74"/>
    </row>
    <row r="1182">
      <c r="A1182" s="74"/>
    </row>
    <row r="1183">
      <c r="A1183" s="74"/>
    </row>
    <row r="1184">
      <c r="A1184" s="74"/>
    </row>
    <row r="1185">
      <c r="A1185" s="74"/>
    </row>
    <row r="1186">
      <c r="A1186" s="74"/>
    </row>
    <row r="1187">
      <c r="A1187" s="74"/>
    </row>
    <row r="1188">
      <c r="A1188" s="74"/>
    </row>
    <row r="1189">
      <c r="A1189" s="74"/>
    </row>
    <row r="1190">
      <c r="A1190" s="74"/>
    </row>
    <row r="1191">
      <c r="A1191" s="74"/>
    </row>
    <row r="1192">
      <c r="A1192" s="74"/>
    </row>
    <row r="1193">
      <c r="A1193" s="74"/>
    </row>
    <row r="1194">
      <c r="A1194" s="74"/>
    </row>
    <row r="1195">
      <c r="A1195" s="74"/>
    </row>
    <row r="1196">
      <c r="A1196" s="74"/>
    </row>
    <row r="1197">
      <c r="A1197" s="74"/>
    </row>
    <row r="1198">
      <c r="A1198" s="74"/>
    </row>
    <row r="1199">
      <c r="A1199" s="74"/>
    </row>
    <row r="1200">
      <c r="A1200" s="74"/>
    </row>
    <row r="1201">
      <c r="A1201" s="74"/>
    </row>
    <row r="1202">
      <c r="A1202" s="74"/>
    </row>
    <row r="1203">
      <c r="A1203" s="74"/>
    </row>
    <row r="1204">
      <c r="A1204" s="74"/>
    </row>
    <row r="1205">
      <c r="A1205" s="74"/>
    </row>
    <row r="1206">
      <c r="A1206" s="74"/>
    </row>
    <row r="1207">
      <c r="A1207" s="74"/>
    </row>
    <row r="1208">
      <c r="A1208" s="74"/>
    </row>
    <row r="1209">
      <c r="A1209" s="74"/>
    </row>
    <row r="1210">
      <c r="A1210" s="74"/>
    </row>
    <row r="1211">
      <c r="A1211" s="74"/>
    </row>
    <row r="1212">
      <c r="A1212" s="74"/>
    </row>
    <row r="1213">
      <c r="A1213" s="74"/>
    </row>
    <row r="1214">
      <c r="A1214" s="74"/>
    </row>
    <row r="1215">
      <c r="A1215" s="74"/>
    </row>
    <row r="1216">
      <c r="A1216" s="74"/>
    </row>
    <row r="1217">
      <c r="A1217" s="74"/>
    </row>
    <row r="1218">
      <c r="A1218" s="74"/>
    </row>
    <row r="1219">
      <c r="A1219" s="74"/>
    </row>
    <row r="1220">
      <c r="A1220" s="74"/>
    </row>
    <row r="1221">
      <c r="A1221" s="74"/>
    </row>
    <row r="1222">
      <c r="A1222" s="74"/>
    </row>
    <row r="1223">
      <c r="A1223" s="74"/>
    </row>
    <row r="1224">
      <c r="A1224" s="74"/>
    </row>
    <row r="1225">
      <c r="A1225" s="74"/>
    </row>
    <row r="1226">
      <c r="A1226" s="74"/>
    </row>
    <row r="1227">
      <c r="A1227" s="74"/>
    </row>
    <row r="1228">
      <c r="A1228" s="74"/>
    </row>
    <row r="1229">
      <c r="A1229" s="74"/>
    </row>
    <row r="1230">
      <c r="A1230" s="74"/>
    </row>
    <row r="1231">
      <c r="A1231" s="74"/>
    </row>
    <row r="1232">
      <c r="A1232" s="74"/>
    </row>
    <row r="1233">
      <c r="A1233" s="74"/>
    </row>
    <row r="1234">
      <c r="A1234" s="74"/>
    </row>
    <row r="1235">
      <c r="A1235" s="74"/>
    </row>
    <row r="1236">
      <c r="A1236" s="74"/>
    </row>
    <row r="1237">
      <c r="A1237" s="74"/>
    </row>
    <row r="1238">
      <c r="A1238" s="74"/>
    </row>
    <row r="1239">
      <c r="A1239" s="74"/>
    </row>
    <row r="1240">
      <c r="A1240" s="74"/>
    </row>
    <row r="1241">
      <c r="A1241" s="74"/>
    </row>
    <row r="1242">
      <c r="A1242" s="74"/>
    </row>
    <row r="1243">
      <c r="A1243" s="74"/>
    </row>
    <row r="1244">
      <c r="A1244" s="74"/>
    </row>
    <row r="1245">
      <c r="A1245" s="74"/>
    </row>
    <row r="1246">
      <c r="A1246" s="74"/>
    </row>
    <row r="1247">
      <c r="A1247" s="74"/>
    </row>
    <row r="1248">
      <c r="A1248" s="74"/>
    </row>
    <row r="1249">
      <c r="A1249" s="74"/>
    </row>
    <row r="1250">
      <c r="A1250" s="74"/>
    </row>
    <row r="1251">
      <c r="A1251" s="74"/>
    </row>
    <row r="1252">
      <c r="A1252" s="74"/>
    </row>
    <row r="1253">
      <c r="A1253" s="74"/>
    </row>
    <row r="1254">
      <c r="A1254" s="74"/>
    </row>
    <row r="1255">
      <c r="A1255" s="74"/>
    </row>
    <row r="1256">
      <c r="A1256" s="74"/>
    </row>
    <row r="1257">
      <c r="A1257" s="74"/>
    </row>
    <row r="1258">
      <c r="A1258" s="74"/>
    </row>
    <row r="1259">
      <c r="A1259" s="74"/>
    </row>
    <row r="1260">
      <c r="A1260" s="74"/>
    </row>
    <row r="1261">
      <c r="A1261" s="74"/>
    </row>
    <row r="1262">
      <c r="A1262" s="74"/>
    </row>
    <row r="1263">
      <c r="A1263" s="74"/>
    </row>
    <row r="1264">
      <c r="A1264" s="74"/>
    </row>
    <row r="1265">
      <c r="A1265" s="74"/>
    </row>
    <row r="1266">
      <c r="A1266" s="74"/>
    </row>
    <row r="1267">
      <c r="A1267" s="74"/>
    </row>
    <row r="1268">
      <c r="A1268" s="74"/>
    </row>
    <row r="1269">
      <c r="A1269" s="74"/>
    </row>
    <row r="1270">
      <c r="A1270" s="74"/>
    </row>
    <row r="1271">
      <c r="A1271" s="74"/>
    </row>
    <row r="1272">
      <c r="A1272" s="74"/>
    </row>
    <row r="1273">
      <c r="A1273" s="74"/>
    </row>
    <row r="1274">
      <c r="A1274" s="74"/>
    </row>
    <row r="1275">
      <c r="A1275" s="74"/>
    </row>
    <row r="1276">
      <c r="A1276" s="74"/>
    </row>
    <row r="1277">
      <c r="A1277" s="74"/>
    </row>
    <row r="1278">
      <c r="A1278" s="74"/>
    </row>
    <row r="1279">
      <c r="A1279" s="74"/>
    </row>
    <row r="1280">
      <c r="A1280" s="74"/>
    </row>
    <row r="1281">
      <c r="A1281" s="74"/>
    </row>
    <row r="1282">
      <c r="A1282" s="74"/>
    </row>
    <row r="1283">
      <c r="A1283" s="74"/>
    </row>
    <row r="1284">
      <c r="A1284" s="74"/>
    </row>
    <row r="1285">
      <c r="A1285" s="74"/>
    </row>
    <row r="1286">
      <c r="A1286" s="74"/>
    </row>
    <row r="1287">
      <c r="A1287" s="74"/>
    </row>
    <row r="1288">
      <c r="A1288" s="74"/>
    </row>
    <row r="1289">
      <c r="A1289" s="74"/>
    </row>
    <row r="1290">
      <c r="A1290" s="74"/>
    </row>
    <row r="1291">
      <c r="A1291" s="74"/>
    </row>
    <row r="1292">
      <c r="A1292" s="74"/>
    </row>
    <row r="1293">
      <c r="A1293" s="74"/>
    </row>
    <row r="1294">
      <c r="A1294" s="74"/>
    </row>
    <row r="1295">
      <c r="A1295" s="74"/>
    </row>
    <row r="1296">
      <c r="A1296" s="74"/>
    </row>
    <row r="1297">
      <c r="A1297" s="74"/>
    </row>
    <row r="1298">
      <c r="A1298" s="74"/>
    </row>
    <row r="1299">
      <c r="A1299" s="74"/>
    </row>
    <row r="1300">
      <c r="A1300" s="74"/>
    </row>
    <row r="1301">
      <c r="A1301" s="74"/>
    </row>
    <row r="1302">
      <c r="A1302" s="74"/>
    </row>
    <row r="1303">
      <c r="A1303" s="74"/>
    </row>
    <row r="1304">
      <c r="A1304" s="74"/>
    </row>
    <row r="1305">
      <c r="A1305" s="74"/>
    </row>
    <row r="1306">
      <c r="A1306" s="74"/>
    </row>
    <row r="1307">
      <c r="A1307" s="74"/>
    </row>
    <row r="1308">
      <c r="A1308" s="74"/>
    </row>
    <row r="1309">
      <c r="A1309" s="74"/>
    </row>
    <row r="1310">
      <c r="A1310" s="74"/>
    </row>
    <row r="1311">
      <c r="A1311" s="74"/>
    </row>
    <row r="1312">
      <c r="A1312" s="74"/>
    </row>
    <row r="1313">
      <c r="A1313" s="74"/>
    </row>
    <row r="1314">
      <c r="A1314" s="74"/>
    </row>
    <row r="1315">
      <c r="A1315" s="74"/>
    </row>
    <row r="1316">
      <c r="A1316" s="74"/>
    </row>
    <row r="1317">
      <c r="A1317" s="74"/>
    </row>
    <row r="1318">
      <c r="A1318" s="74"/>
    </row>
    <row r="1319">
      <c r="A1319" s="74"/>
    </row>
    <row r="1320">
      <c r="A1320" s="74"/>
    </row>
    <row r="1321">
      <c r="A1321" s="74"/>
    </row>
    <row r="1322">
      <c r="A1322" s="74"/>
    </row>
    <row r="1323">
      <c r="A1323" s="74"/>
    </row>
    <row r="1324">
      <c r="A1324" s="74"/>
    </row>
    <row r="1325">
      <c r="A1325" s="74"/>
    </row>
    <row r="1326">
      <c r="A1326" s="74"/>
    </row>
    <row r="1327">
      <c r="A1327" s="74"/>
    </row>
    <row r="1328">
      <c r="A1328" s="74"/>
    </row>
    <row r="1329">
      <c r="A1329" s="74"/>
    </row>
    <row r="1330">
      <c r="A1330" s="74"/>
    </row>
    <row r="1331">
      <c r="A1331" s="74"/>
    </row>
    <row r="1332">
      <c r="A1332" s="74"/>
    </row>
    <row r="1333">
      <c r="A1333" s="74"/>
    </row>
    <row r="1334">
      <c r="A1334" s="74"/>
    </row>
    <row r="1335">
      <c r="A1335" s="74"/>
    </row>
    <row r="1336">
      <c r="A1336" s="74"/>
    </row>
    <row r="1337">
      <c r="A1337" s="74"/>
    </row>
    <row r="1338">
      <c r="A1338" s="74"/>
    </row>
    <row r="1339">
      <c r="A1339" s="74"/>
    </row>
    <row r="1340">
      <c r="A1340" s="74"/>
    </row>
    <row r="1341">
      <c r="A1341" s="74"/>
    </row>
    <row r="1342">
      <c r="A1342" s="74"/>
    </row>
    <row r="1343">
      <c r="A1343" s="74"/>
    </row>
    <row r="1344">
      <c r="A1344" s="74"/>
    </row>
    <row r="1345">
      <c r="A1345" s="74"/>
    </row>
    <row r="1346">
      <c r="A1346" s="74"/>
    </row>
    <row r="1347">
      <c r="A1347" s="74"/>
    </row>
    <row r="1348">
      <c r="A1348" s="74"/>
    </row>
    <row r="1349">
      <c r="A1349" s="74"/>
    </row>
    <row r="1350">
      <c r="A1350" s="74"/>
    </row>
    <row r="1351">
      <c r="A1351" s="74"/>
    </row>
    <row r="1352">
      <c r="A1352" s="74"/>
    </row>
    <row r="1353">
      <c r="A1353" s="74"/>
    </row>
    <row r="1354">
      <c r="A1354" s="74"/>
    </row>
    <row r="1355">
      <c r="A1355" s="74"/>
    </row>
    <row r="1356">
      <c r="A1356" s="74"/>
    </row>
    <row r="1357">
      <c r="A1357" s="74"/>
    </row>
    <row r="1358">
      <c r="A1358" s="74"/>
    </row>
    <row r="1359">
      <c r="A1359" s="74"/>
    </row>
    <row r="1360">
      <c r="A1360" s="74"/>
    </row>
    <row r="1361">
      <c r="A1361" s="74"/>
    </row>
    <row r="1362">
      <c r="A1362" s="74"/>
    </row>
    <row r="1363">
      <c r="A1363" s="74"/>
    </row>
    <row r="1364">
      <c r="A1364" s="74"/>
    </row>
    <row r="1365">
      <c r="A1365" s="74"/>
    </row>
    <row r="1366">
      <c r="A1366" s="74"/>
    </row>
    <row r="1367">
      <c r="A1367" s="74"/>
    </row>
    <row r="1368">
      <c r="A1368" s="74"/>
    </row>
    <row r="1369">
      <c r="A1369" s="74"/>
    </row>
    <row r="1370">
      <c r="A1370" s="74"/>
    </row>
    <row r="1371">
      <c r="A1371" s="74"/>
    </row>
    <row r="1372">
      <c r="A1372" s="74"/>
    </row>
    <row r="1373">
      <c r="A1373" s="74"/>
    </row>
    <row r="1374">
      <c r="A1374" s="74"/>
    </row>
    <row r="1375">
      <c r="A1375" s="74"/>
    </row>
    <row r="1376">
      <c r="A1376" s="74"/>
    </row>
    <row r="1377">
      <c r="A1377" s="74"/>
    </row>
    <row r="1378">
      <c r="A1378" s="74"/>
    </row>
    <row r="1379">
      <c r="A1379" s="74"/>
    </row>
    <row r="1380">
      <c r="A1380" s="74"/>
    </row>
    <row r="1381">
      <c r="A1381" s="74"/>
    </row>
    <row r="1382">
      <c r="A1382" s="74"/>
    </row>
    <row r="1383">
      <c r="A1383" s="74"/>
    </row>
    <row r="1384">
      <c r="A1384" s="74"/>
    </row>
    <row r="1385">
      <c r="A1385" s="74"/>
    </row>
    <row r="1386">
      <c r="A1386" s="74"/>
    </row>
    <row r="1387">
      <c r="A1387" s="74"/>
    </row>
    <row r="1388">
      <c r="A1388" s="74"/>
    </row>
    <row r="1389">
      <c r="A1389" s="74"/>
    </row>
    <row r="1390">
      <c r="A1390" s="74"/>
    </row>
    <row r="1391">
      <c r="A1391" s="74"/>
    </row>
    <row r="1392">
      <c r="A1392" s="74"/>
    </row>
    <row r="1393">
      <c r="A1393" s="74"/>
    </row>
    <row r="1394">
      <c r="A1394" s="74"/>
    </row>
    <row r="1395">
      <c r="A1395" s="74"/>
    </row>
    <row r="1396">
      <c r="A1396" s="74"/>
    </row>
    <row r="1397">
      <c r="A1397" s="74"/>
    </row>
    <row r="1398">
      <c r="A1398" s="74"/>
    </row>
    <row r="1399">
      <c r="A1399" s="74"/>
    </row>
    <row r="1400">
      <c r="A1400" s="74"/>
    </row>
    <row r="1401">
      <c r="A1401" s="74"/>
    </row>
    <row r="1402">
      <c r="A1402" s="74"/>
    </row>
    <row r="1403">
      <c r="A1403" s="74"/>
    </row>
    <row r="1404">
      <c r="A1404" s="74"/>
    </row>
    <row r="1405">
      <c r="A1405" s="74"/>
    </row>
    <row r="1406">
      <c r="A1406" s="74"/>
    </row>
    <row r="1407">
      <c r="A1407" s="74"/>
    </row>
    <row r="1408">
      <c r="A1408" s="74"/>
    </row>
    <row r="1409">
      <c r="A1409" s="74"/>
    </row>
    <row r="1410">
      <c r="A1410" s="74"/>
    </row>
    <row r="1411">
      <c r="A1411" s="74"/>
    </row>
    <row r="1412">
      <c r="A1412" s="74"/>
    </row>
    <row r="1413">
      <c r="A1413" s="74"/>
    </row>
    <row r="1414">
      <c r="A1414" s="74"/>
    </row>
    <row r="1415">
      <c r="A1415" s="74"/>
    </row>
    <row r="1416">
      <c r="A1416" s="74"/>
    </row>
    <row r="1417">
      <c r="A1417" s="74"/>
    </row>
    <row r="1418">
      <c r="A1418" s="74"/>
    </row>
    <row r="1419">
      <c r="A1419" s="74"/>
    </row>
    <row r="1420">
      <c r="A1420" s="74"/>
    </row>
    <row r="1421">
      <c r="A1421" s="74"/>
    </row>
    <row r="1422">
      <c r="A1422" s="74"/>
    </row>
    <row r="1423">
      <c r="A1423" s="74"/>
    </row>
    <row r="1424">
      <c r="A1424" s="74"/>
    </row>
    <row r="1425">
      <c r="A1425" s="74"/>
    </row>
    <row r="1426">
      <c r="A1426" s="74"/>
    </row>
    <row r="1427">
      <c r="A1427" s="74"/>
    </row>
    <row r="1428">
      <c r="A1428" s="74"/>
    </row>
    <row r="1429">
      <c r="A1429" s="74"/>
    </row>
    <row r="1430">
      <c r="A1430" s="74"/>
    </row>
    <row r="1431">
      <c r="A1431" s="74"/>
    </row>
    <row r="1432">
      <c r="A1432" s="74"/>
    </row>
    <row r="1433">
      <c r="A1433" s="74"/>
    </row>
    <row r="1434">
      <c r="A1434" s="74"/>
    </row>
    <row r="1435">
      <c r="A1435" s="74"/>
    </row>
    <row r="1436">
      <c r="A1436" s="74"/>
    </row>
    <row r="1437">
      <c r="A1437" s="74"/>
    </row>
    <row r="1438">
      <c r="A1438" s="74"/>
    </row>
    <row r="1439">
      <c r="A1439" s="74"/>
    </row>
    <row r="1440">
      <c r="A1440" s="74"/>
    </row>
    <row r="1441">
      <c r="A1441" s="74"/>
    </row>
    <row r="1442">
      <c r="A1442" s="74"/>
    </row>
    <row r="1443">
      <c r="A1443" s="74"/>
    </row>
    <row r="1444">
      <c r="A1444" s="74"/>
    </row>
    <row r="1445">
      <c r="A1445" s="74"/>
    </row>
    <row r="1446">
      <c r="A1446" s="74"/>
    </row>
    <row r="1447">
      <c r="A1447" s="74"/>
    </row>
    <row r="1448">
      <c r="A1448" s="74"/>
    </row>
    <row r="1449">
      <c r="A1449" s="74"/>
    </row>
  </sheetData>
  <autoFilter ref="$A$1:$L$1449"/>
  <customSheetViews>
    <customSheetView guid="{903C50A8-AD16-42CC-B57C-ACA124F0D9CD}" filter="1" showAutoFilter="1">
      <autoFilter ref="$A$1:$L$1449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5.57"/>
    <col customWidth="1" min="3" max="3" width="11.43"/>
    <col customWidth="1" min="4" max="4" width="12.29"/>
    <col customWidth="1" min="5" max="5" width="11.57"/>
    <col customWidth="1" min="6" max="6" width="19.14"/>
    <col customWidth="1" min="7" max="7" width="23.0"/>
    <col customWidth="1" min="9" max="9" width="10.29"/>
    <col customWidth="1" min="10" max="10" width="25.57"/>
    <col customWidth="1" min="11" max="11" width="31.86"/>
    <col customWidth="1" min="12" max="12" width="28.71"/>
    <col customWidth="1" min="13" max="13" width="33.29"/>
    <col customWidth="1" min="14" max="14" width="21.0"/>
    <col customWidth="1" min="15" max="15" width="24.57"/>
    <col customWidth="1" min="16" max="16" width="4.86"/>
    <col customWidth="1" min="17" max="17" width="3.86"/>
    <col customWidth="1" min="21" max="21" width="21.0"/>
  </cols>
  <sheetData>
    <row r="1">
      <c r="A1" s="64" t="s">
        <v>0</v>
      </c>
      <c r="B1" s="65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7" t="s">
        <v>10</v>
      </c>
      <c r="K1" s="66" t="s">
        <v>11</v>
      </c>
      <c r="L1" s="68" t="s">
        <v>12</v>
      </c>
      <c r="M1" s="69" t="s">
        <v>13</v>
      </c>
      <c r="N1" s="70" t="s">
        <v>14</v>
      </c>
      <c r="O1" s="70" t="s">
        <v>15</v>
      </c>
      <c r="P1" s="70" t="s">
        <v>16</v>
      </c>
      <c r="Q1" s="70" t="s">
        <v>17</v>
      </c>
      <c r="R1" s="70" t="s">
        <v>18</v>
      </c>
      <c r="S1" s="70" t="s">
        <v>19</v>
      </c>
      <c r="T1" s="70" t="s">
        <v>20</v>
      </c>
      <c r="U1" s="70" t="s">
        <v>21</v>
      </c>
    </row>
    <row r="2">
      <c r="A2" s="19">
        <v>5.906485301012E12</v>
      </c>
      <c r="B2" s="20" t="s">
        <v>4922</v>
      </c>
      <c r="C2" s="21">
        <v>0.053</v>
      </c>
      <c r="D2" s="21">
        <v>0.134</v>
      </c>
      <c r="E2" s="21">
        <v>0.053</v>
      </c>
      <c r="F2" s="22">
        <v>6.0</v>
      </c>
      <c r="G2" s="23"/>
      <c r="H2" s="20" t="s">
        <v>4923</v>
      </c>
      <c r="I2" s="21" t="s">
        <v>4923</v>
      </c>
      <c r="J2" s="24" t="s">
        <v>4924</v>
      </c>
      <c r="K2" s="21" t="s">
        <v>4925</v>
      </c>
      <c r="L2" s="25" t="s">
        <v>4926</v>
      </c>
      <c r="M2" s="26" t="s">
        <v>28</v>
      </c>
      <c r="N2" s="24" t="s">
        <v>340</v>
      </c>
      <c r="O2" s="24" t="s">
        <v>449</v>
      </c>
      <c r="P2" s="27"/>
      <c r="Q2" s="27"/>
      <c r="R2" s="31" t="s">
        <v>4927</v>
      </c>
      <c r="S2" s="33" t="s">
        <v>4928</v>
      </c>
      <c r="T2" s="29" t="s">
        <v>4923</v>
      </c>
      <c r="U2" s="24"/>
    </row>
    <row r="3">
      <c r="A3" s="30">
        <v>5.902198160403E12</v>
      </c>
      <c r="B3" s="20" t="s">
        <v>4948</v>
      </c>
      <c r="C3" s="21">
        <v>0.053</v>
      </c>
      <c r="D3" s="21">
        <v>0.134</v>
      </c>
      <c r="E3" s="21">
        <v>0.053</v>
      </c>
      <c r="F3" s="22">
        <v>6.0</v>
      </c>
      <c r="G3" s="23"/>
      <c r="H3" s="20" t="s">
        <v>4930</v>
      </c>
      <c r="I3" s="21" t="s">
        <v>4930</v>
      </c>
      <c r="J3" s="24" t="s">
        <v>4949</v>
      </c>
      <c r="K3" s="21" t="s">
        <v>4950</v>
      </c>
      <c r="L3" s="25" t="s">
        <v>4951</v>
      </c>
      <c r="M3" s="26" t="s">
        <v>28</v>
      </c>
      <c r="N3" s="24" t="s">
        <v>340</v>
      </c>
      <c r="O3" s="24" t="s">
        <v>449</v>
      </c>
      <c r="P3" s="27"/>
      <c r="Q3" s="27"/>
      <c r="R3" s="28" t="s">
        <v>4952</v>
      </c>
      <c r="S3" s="8" t="s">
        <v>4953</v>
      </c>
      <c r="T3" s="29" t="s">
        <v>4923</v>
      </c>
      <c r="U3" s="24"/>
    </row>
    <row r="4">
      <c r="A4" s="30">
        <v>7.290000135045E12</v>
      </c>
      <c r="B4" s="20" t="s">
        <v>4936</v>
      </c>
      <c r="C4" s="21">
        <v>0.053</v>
      </c>
      <c r="D4" s="21">
        <v>0.134</v>
      </c>
      <c r="E4" s="21">
        <v>0.053</v>
      </c>
      <c r="F4" s="22">
        <v>6.0</v>
      </c>
      <c r="G4" s="23"/>
      <c r="H4" s="20" t="s">
        <v>4930</v>
      </c>
      <c r="I4" s="21" t="s">
        <v>4930</v>
      </c>
      <c r="J4" s="24" t="s">
        <v>4937</v>
      </c>
      <c r="K4" s="21" t="s">
        <v>4938</v>
      </c>
      <c r="L4" s="25" t="s">
        <v>4939</v>
      </c>
      <c r="M4" s="26" t="s">
        <v>37</v>
      </c>
      <c r="N4" s="24" t="s">
        <v>340</v>
      </c>
      <c r="O4" s="24" t="s">
        <v>449</v>
      </c>
      <c r="P4" s="27"/>
      <c r="Q4" s="27"/>
      <c r="R4" s="31" t="s">
        <v>4940</v>
      </c>
      <c r="S4" s="33" t="s">
        <v>4941</v>
      </c>
      <c r="T4" s="29" t="e">
        <v>#N/A</v>
      </c>
      <c r="U4" s="24"/>
    </row>
    <row r="5">
      <c r="A5" s="30">
        <v>7.290000135052E12</v>
      </c>
      <c r="B5" s="20" t="s">
        <v>4942</v>
      </c>
      <c r="C5" s="21">
        <v>0.053</v>
      </c>
      <c r="D5" s="21">
        <v>0.134</v>
      </c>
      <c r="E5" s="21">
        <v>0.053</v>
      </c>
      <c r="F5" s="22">
        <v>6.0</v>
      </c>
      <c r="G5" s="23"/>
      <c r="H5" s="20" t="s">
        <v>4930</v>
      </c>
      <c r="I5" s="21" t="s">
        <v>4930</v>
      </c>
      <c r="J5" s="24" t="s">
        <v>4943</v>
      </c>
      <c r="K5" s="21" t="s">
        <v>4944</v>
      </c>
      <c r="L5" s="25" t="s">
        <v>4945</v>
      </c>
      <c r="M5" s="26" t="s">
        <v>37</v>
      </c>
      <c r="N5" s="24" t="s">
        <v>340</v>
      </c>
      <c r="O5" s="24" t="s">
        <v>449</v>
      </c>
      <c r="P5" s="27"/>
      <c r="Q5" s="27"/>
      <c r="R5" s="31" t="s">
        <v>4946</v>
      </c>
      <c r="S5" s="33" t="s">
        <v>4947</v>
      </c>
      <c r="T5" s="29" t="e">
        <v>#N/A</v>
      </c>
      <c r="U5" s="24"/>
    </row>
    <row r="6">
      <c r="A6" s="30">
        <v>7.290000135113E12</v>
      </c>
      <c r="B6" s="20" t="s">
        <v>4929</v>
      </c>
      <c r="C6" s="21">
        <v>0.053</v>
      </c>
      <c r="D6" s="21">
        <v>0.134</v>
      </c>
      <c r="E6" s="21">
        <v>0.053</v>
      </c>
      <c r="F6" s="22">
        <v>6.0</v>
      </c>
      <c r="G6" s="23"/>
      <c r="H6" s="20" t="s">
        <v>4930</v>
      </c>
      <c r="I6" s="21" t="s">
        <v>4930</v>
      </c>
      <c r="J6" s="24" t="s">
        <v>4931</v>
      </c>
      <c r="K6" s="21" t="s">
        <v>4932</v>
      </c>
      <c r="L6" s="25" t="s">
        <v>4933</v>
      </c>
      <c r="M6" s="26" t="s">
        <v>28</v>
      </c>
      <c r="N6" s="24" t="s">
        <v>340</v>
      </c>
      <c r="O6" s="24" t="s">
        <v>449</v>
      </c>
      <c r="P6" s="27"/>
      <c r="Q6" s="27"/>
      <c r="R6" s="31" t="s">
        <v>4934</v>
      </c>
      <c r="S6" s="33" t="s">
        <v>4935</v>
      </c>
      <c r="T6" s="29" t="s">
        <v>4923</v>
      </c>
      <c r="U6" s="24"/>
    </row>
    <row r="7">
      <c r="A7" s="30">
        <v>7.2917329E7</v>
      </c>
      <c r="B7" s="20" t="s">
        <v>1155</v>
      </c>
      <c r="C7" s="21">
        <v>0.13</v>
      </c>
      <c r="D7" s="21">
        <v>0.035</v>
      </c>
      <c r="E7" s="21">
        <v>0.02</v>
      </c>
      <c r="F7" s="22">
        <v>15.0</v>
      </c>
      <c r="G7" s="23"/>
      <c r="H7" s="24" t="s">
        <v>1156</v>
      </c>
      <c r="I7" s="21" t="s">
        <v>1157</v>
      </c>
      <c r="J7" s="24" t="s">
        <v>1158</v>
      </c>
      <c r="K7" s="21" t="s">
        <v>1159</v>
      </c>
      <c r="L7" s="25" t="s">
        <v>1160</v>
      </c>
      <c r="M7" s="26" t="s">
        <v>28</v>
      </c>
      <c r="N7" s="24" t="s">
        <v>501</v>
      </c>
      <c r="O7" s="24" t="s">
        <v>502</v>
      </c>
      <c r="P7" s="27"/>
      <c r="Q7" s="27"/>
      <c r="R7" s="31" t="s">
        <v>1161</v>
      </c>
      <c r="S7" s="8" t="s">
        <v>1162</v>
      </c>
      <c r="T7" s="29" t="s">
        <v>1157</v>
      </c>
      <c r="U7" s="24"/>
    </row>
    <row r="8">
      <c r="A8" s="30">
        <v>7.622210835338E12</v>
      </c>
      <c r="B8" s="20" t="s">
        <v>3201</v>
      </c>
      <c r="C8" s="21">
        <v>0.192</v>
      </c>
      <c r="D8" s="21">
        <v>0.11</v>
      </c>
      <c r="E8" s="21">
        <v>0.032</v>
      </c>
      <c r="F8" s="22">
        <v>9.0</v>
      </c>
      <c r="G8" s="23"/>
      <c r="H8" s="24" t="s">
        <v>3169</v>
      </c>
      <c r="I8" s="21" t="s">
        <v>3170</v>
      </c>
      <c r="J8" s="24" t="s">
        <v>3202</v>
      </c>
      <c r="K8" s="21" t="s">
        <v>3203</v>
      </c>
      <c r="L8" s="25" t="s">
        <v>3204</v>
      </c>
      <c r="M8" s="26" t="s">
        <v>28</v>
      </c>
      <c r="N8" s="24" t="s">
        <v>2364</v>
      </c>
      <c r="O8" s="24" t="s">
        <v>2739</v>
      </c>
      <c r="P8" s="27"/>
      <c r="Q8" s="27"/>
      <c r="R8" s="28" t="s">
        <v>3205</v>
      </c>
      <c r="S8" s="33" t="s">
        <v>3206</v>
      </c>
      <c r="T8" s="29" t="s">
        <v>3170</v>
      </c>
      <c r="U8" s="24"/>
    </row>
    <row r="9">
      <c r="A9" s="30">
        <v>7.622210829085E12</v>
      </c>
      <c r="B9" s="20" t="s">
        <v>3225</v>
      </c>
      <c r="C9" s="21">
        <v>0.045</v>
      </c>
      <c r="D9" s="21">
        <v>0.195</v>
      </c>
      <c r="E9" s="21">
        <v>0.055</v>
      </c>
      <c r="F9" s="22">
        <v>5.0</v>
      </c>
      <c r="G9" s="23"/>
      <c r="H9" s="24" t="s">
        <v>3169</v>
      </c>
      <c r="I9" s="21" t="s">
        <v>3170</v>
      </c>
      <c r="J9" s="24" t="s">
        <v>3226</v>
      </c>
      <c r="K9" s="21" t="s">
        <v>3227</v>
      </c>
      <c r="L9" s="25" t="s">
        <v>3228</v>
      </c>
      <c r="M9" s="26" t="s">
        <v>28</v>
      </c>
      <c r="N9" s="24" t="s">
        <v>2364</v>
      </c>
      <c r="O9" s="24" t="s">
        <v>2739</v>
      </c>
      <c r="P9" s="27"/>
      <c r="Q9" s="27"/>
      <c r="R9" s="31" t="s">
        <v>3229</v>
      </c>
      <c r="S9" s="33" t="s">
        <v>3230</v>
      </c>
      <c r="T9" s="29" t="s">
        <v>3170</v>
      </c>
      <c r="U9" s="24"/>
    </row>
    <row r="10">
      <c r="A10" s="30">
        <v>7.622210874351E12</v>
      </c>
      <c r="B10" s="20" t="s">
        <v>3207</v>
      </c>
      <c r="C10" s="21">
        <v>0.09</v>
      </c>
      <c r="D10" s="21">
        <v>0.11</v>
      </c>
      <c r="E10" s="21">
        <v>0.09</v>
      </c>
      <c r="F10" s="22">
        <v>3.0</v>
      </c>
      <c r="G10" s="23"/>
      <c r="H10" s="24" t="s">
        <v>3169</v>
      </c>
      <c r="I10" s="21" t="s">
        <v>3170</v>
      </c>
      <c r="J10" s="24" t="s">
        <v>3208</v>
      </c>
      <c r="K10" s="21" t="s">
        <v>3209</v>
      </c>
      <c r="L10" s="25" t="s">
        <v>3210</v>
      </c>
      <c r="M10" s="26" t="s">
        <v>28</v>
      </c>
      <c r="N10" s="24" t="s">
        <v>2364</v>
      </c>
      <c r="O10" s="24" t="s">
        <v>2739</v>
      </c>
      <c r="P10" s="27"/>
      <c r="Q10" s="27"/>
      <c r="R10" s="31" t="s">
        <v>3211</v>
      </c>
      <c r="S10" s="33" t="s">
        <v>3212</v>
      </c>
      <c r="T10" s="29" t="s">
        <v>3170</v>
      </c>
      <c r="U10" s="24"/>
    </row>
    <row r="11">
      <c r="A11" s="30">
        <v>7.622210637994E12</v>
      </c>
      <c r="B11" s="20" t="s">
        <v>3177</v>
      </c>
      <c r="C11" s="21">
        <v>0.14</v>
      </c>
      <c r="D11" s="21">
        <v>0.17</v>
      </c>
      <c r="E11" s="21">
        <v>0.035</v>
      </c>
      <c r="F11" s="22">
        <v>9.0</v>
      </c>
      <c r="G11" s="23"/>
      <c r="H11" s="24" t="s">
        <v>3169</v>
      </c>
      <c r="I11" s="21" t="s">
        <v>3170</v>
      </c>
      <c r="J11" s="24" t="s">
        <v>3178</v>
      </c>
      <c r="K11" s="21" t="s">
        <v>3179</v>
      </c>
      <c r="L11" s="25" t="s">
        <v>3180</v>
      </c>
      <c r="M11" s="26" t="s">
        <v>28</v>
      </c>
      <c r="N11" s="24" t="s">
        <v>2364</v>
      </c>
      <c r="O11" s="24" t="s">
        <v>2739</v>
      </c>
      <c r="P11" s="27"/>
      <c r="Q11" s="27"/>
      <c r="R11" s="31" t="s">
        <v>3181</v>
      </c>
      <c r="S11" s="33" t="s">
        <v>3182</v>
      </c>
      <c r="T11" s="29" t="s">
        <v>3170</v>
      </c>
      <c r="U11" s="24"/>
    </row>
    <row r="12">
      <c r="A12" s="30">
        <v>7.622210638021E12</v>
      </c>
      <c r="B12" s="20" t="s">
        <v>3168</v>
      </c>
      <c r="C12" s="21">
        <v>0.14</v>
      </c>
      <c r="D12" s="21">
        <v>0.17</v>
      </c>
      <c r="E12" s="21">
        <v>0.035</v>
      </c>
      <c r="F12" s="22">
        <v>9.0</v>
      </c>
      <c r="G12" s="23"/>
      <c r="H12" s="24" t="s">
        <v>3169</v>
      </c>
      <c r="I12" s="21" t="s">
        <v>3170</v>
      </c>
      <c r="J12" s="24" t="s">
        <v>3172</v>
      </c>
      <c r="K12" s="21" t="s">
        <v>3173</v>
      </c>
      <c r="L12" s="25" t="s">
        <v>3174</v>
      </c>
      <c r="M12" s="26" t="s">
        <v>28</v>
      </c>
      <c r="N12" s="24" t="s">
        <v>2364</v>
      </c>
      <c r="O12" s="24" t="s">
        <v>2739</v>
      </c>
      <c r="P12" s="27"/>
      <c r="Q12" s="27"/>
      <c r="R12" s="28" t="s">
        <v>3175</v>
      </c>
      <c r="S12" s="8" t="s">
        <v>3176</v>
      </c>
      <c r="T12" s="29" t="s">
        <v>3170</v>
      </c>
      <c r="U12" s="24"/>
    </row>
    <row r="13">
      <c r="A13" s="30">
        <v>7.622300761363E12</v>
      </c>
      <c r="B13" s="20" t="s">
        <v>3183</v>
      </c>
      <c r="C13" s="21">
        <v>0.09</v>
      </c>
      <c r="D13" s="21">
        <v>0.11</v>
      </c>
      <c r="E13" s="21">
        <v>0.09</v>
      </c>
      <c r="F13" s="22">
        <v>3.0</v>
      </c>
      <c r="G13" s="23"/>
      <c r="H13" s="24" t="s">
        <v>3169</v>
      </c>
      <c r="I13" s="21" t="s">
        <v>3170</v>
      </c>
      <c r="J13" s="24" t="s">
        <v>3184</v>
      </c>
      <c r="K13" s="21" t="s">
        <v>3185</v>
      </c>
      <c r="L13" s="25" t="s">
        <v>3186</v>
      </c>
      <c r="M13" s="26" t="s">
        <v>28</v>
      </c>
      <c r="N13" s="24" t="s">
        <v>2364</v>
      </c>
      <c r="O13" s="24" t="s">
        <v>2739</v>
      </c>
      <c r="P13" s="27"/>
      <c r="Q13" s="27"/>
      <c r="R13" s="31" t="s">
        <v>3187</v>
      </c>
      <c r="S13" s="33" t="s">
        <v>3188</v>
      </c>
      <c r="T13" s="29" t="s">
        <v>3170</v>
      </c>
      <c r="U13" s="24"/>
    </row>
    <row r="14">
      <c r="A14" s="30">
        <v>7.622210829108E12</v>
      </c>
      <c r="B14" s="20" t="s">
        <v>3213</v>
      </c>
      <c r="C14" s="21">
        <v>0.045</v>
      </c>
      <c r="D14" s="21">
        <v>0.195</v>
      </c>
      <c r="E14" s="21">
        <v>0.055</v>
      </c>
      <c r="F14" s="22">
        <v>5.0</v>
      </c>
      <c r="G14" s="23"/>
      <c r="H14" s="24" t="s">
        <v>3169</v>
      </c>
      <c r="I14" s="21" t="s">
        <v>3170</v>
      </c>
      <c r="J14" s="24" t="s">
        <v>3214</v>
      </c>
      <c r="K14" s="21" t="s">
        <v>3215</v>
      </c>
      <c r="L14" s="25" t="s">
        <v>3216</v>
      </c>
      <c r="M14" s="26" t="s">
        <v>28</v>
      </c>
      <c r="N14" s="24" t="s">
        <v>2364</v>
      </c>
      <c r="O14" s="24" t="s">
        <v>2739</v>
      </c>
      <c r="P14" s="27"/>
      <c r="Q14" s="27"/>
      <c r="R14" s="28" t="s">
        <v>3217</v>
      </c>
      <c r="S14" s="8" t="s">
        <v>3218</v>
      </c>
      <c r="T14" s="29" t="s">
        <v>3170</v>
      </c>
      <c r="U14" s="24"/>
    </row>
    <row r="15">
      <c r="A15" s="30">
        <v>7.622010001858E12</v>
      </c>
      <c r="B15" s="20" t="s">
        <v>3219</v>
      </c>
      <c r="C15" s="21">
        <v>0.192</v>
      </c>
      <c r="D15" s="21">
        <v>0.11</v>
      </c>
      <c r="E15" s="21">
        <v>0.032</v>
      </c>
      <c r="F15" s="22">
        <v>9.0</v>
      </c>
      <c r="G15" s="23"/>
      <c r="H15" s="24" t="s">
        <v>3169</v>
      </c>
      <c r="I15" s="21" t="s">
        <v>3170</v>
      </c>
      <c r="J15" s="24" t="s">
        <v>3220</v>
      </c>
      <c r="K15" s="21" t="s">
        <v>3221</v>
      </c>
      <c r="L15" s="25" t="s">
        <v>3222</v>
      </c>
      <c r="M15" s="26" t="s">
        <v>28</v>
      </c>
      <c r="N15" s="24" t="s">
        <v>2364</v>
      </c>
      <c r="O15" s="24" t="s">
        <v>2739</v>
      </c>
      <c r="P15" s="27"/>
      <c r="Q15" s="27"/>
      <c r="R15" s="28" t="s">
        <v>3223</v>
      </c>
      <c r="S15" s="8" t="s">
        <v>3224</v>
      </c>
      <c r="T15" s="29" t="s">
        <v>3170</v>
      </c>
      <c r="U15" s="24"/>
    </row>
    <row r="16">
      <c r="A16" s="30">
        <v>7.6222014019E12</v>
      </c>
      <c r="B16" s="20" t="s">
        <v>5158</v>
      </c>
      <c r="C16" s="21">
        <v>0.18</v>
      </c>
      <c r="D16" s="21">
        <v>0.09999999</v>
      </c>
      <c r="E16" s="21">
        <v>0.04</v>
      </c>
      <c r="F16" s="22">
        <v>8.0</v>
      </c>
      <c r="G16" s="23"/>
      <c r="H16" s="24" t="s">
        <v>3169</v>
      </c>
      <c r="I16" s="21" t="s">
        <v>3170</v>
      </c>
      <c r="J16" s="24" t="s">
        <v>2736</v>
      </c>
      <c r="K16" s="21" t="s">
        <v>2737</v>
      </c>
      <c r="L16" s="25" t="s">
        <v>2738</v>
      </c>
      <c r="M16" s="26" t="s">
        <v>28</v>
      </c>
      <c r="N16" s="24" t="s">
        <v>2364</v>
      </c>
      <c r="O16" s="24" t="s">
        <v>2739</v>
      </c>
      <c r="P16" s="27"/>
      <c r="Q16" s="27"/>
      <c r="R16" s="28" t="s">
        <v>2740</v>
      </c>
      <c r="S16" s="8" t="s">
        <v>2741</v>
      </c>
      <c r="T16" s="29" t="s">
        <v>2698</v>
      </c>
      <c r="U16" s="24"/>
    </row>
    <row r="17">
      <c r="A17" s="30">
        <v>7.622201127398E12</v>
      </c>
      <c r="B17" s="20" t="s">
        <v>3189</v>
      </c>
      <c r="C17" s="21">
        <v>0.17</v>
      </c>
      <c r="D17" s="21">
        <v>0.2</v>
      </c>
      <c r="E17" s="21">
        <v>0.037</v>
      </c>
      <c r="F17" s="22">
        <v>8.0</v>
      </c>
      <c r="G17" s="23"/>
      <c r="H17" s="24" t="s">
        <v>3169</v>
      </c>
      <c r="I17" s="21" t="s">
        <v>3170</v>
      </c>
      <c r="J17" s="24" t="s">
        <v>3190</v>
      </c>
      <c r="K17" s="21" t="s">
        <v>3191</v>
      </c>
      <c r="L17" s="25" t="s">
        <v>3192</v>
      </c>
      <c r="M17" s="26" t="s">
        <v>37</v>
      </c>
      <c r="N17" s="24" t="s">
        <v>2364</v>
      </c>
      <c r="O17" s="24" t="s">
        <v>2647</v>
      </c>
      <c r="P17" s="27"/>
      <c r="Q17" s="27"/>
      <c r="R17" s="28" t="s">
        <v>3193</v>
      </c>
      <c r="S17" s="8" t="s">
        <v>3194</v>
      </c>
      <c r="T17" s="29" t="e">
        <v>#N/A</v>
      </c>
      <c r="U17" s="24"/>
    </row>
    <row r="18">
      <c r="A18" s="30">
        <v>7.622201127367E12</v>
      </c>
      <c r="B18" s="20" t="s">
        <v>3195</v>
      </c>
      <c r="C18" s="21">
        <v>0.17</v>
      </c>
      <c r="D18" s="21">
        <v>0.2</v>
      </c>
      <c r="E18" s="21">
        <v>0.037</v>
      </c>
      <c r="F18" s="22">
        <v>8.0</v>
      </c>
      <c r="G18" s="23"/>
      <c r="H18" s="24" t="s">
        <v>3169</v>
      </c>
      <c r="I18" s="21" t="s">
        <v>3170</v>
      </c>
      <c r="J18" s="24" t="s">
        <v>3196</v>
      </c>
      <c r="K18" s="21" t="s">
        <v>3197</v>
      </c>
      <c r="L18" s="25" t="s">
        <v>3198</v>
      </c>
      <c r="M18" s="26" t="s">
        <v>37</v>
      </c>
      <c r="N18" s="24" t="s">
        <v>2364</v>
      </c>
      <c r="O18" s="24" t="s">
        <v>2647</v>
      </c>
      <c r="P18" s="27"/>
      <c r="Q18" s="27"/>
      <c r="R18" s="28" t="s">
        <v>3199</v>
      </c>
      <c r="S18" s="8" t="s">
        <v>3200</v>
      </c>
      <c r="T18" s="29" t="e">
        <v>#N/A</v>
      </c>
      <c r="U18" s="24"/>
    </row>
    <row r="19">
      <c r="A19" s="30">
        <v>7.622210826053E12</v>
      </c>
      <c r="B19" s="20" t="s">
        <v>5159</v>
      </c>
      <c r="C19" s="21">
        <v>0.157</v>
      </c>
      <c r="D19" s="21">
        <v>0.077</v>
      </c>
      <c r="E19" s="21">
        <v>0.014</v>
      </c>
      <c r="F19" s="22">
        <v>21.0</v>
      </c>
      <c r="G19" s="23"/>
      <c r="H19" s="24" t="s">
        <v>3169</v>
      </c>
      <c r="I19" s="21" t="s">
        <v>3170</v>
      </c>
      <c r="J19" s="24" t="s">
        <v>2723</v>
      </c>
      <c r="K19" s="21" t="s">
        <v>2724</v>
      </c>
      <c r="L19" s="25" t="s">
        <v>2725</v>
      </c>
      <c r="M19" s="26" t="s">
        <v>28</v>
      </c>
      <c r="N19" s="24" t="s">
        <v>626</v>
      </c>
      <c r="O19" s="24" t="s">
        <v>2726</v>
      </c>
      <c r="P19" s="27"/>
      <c r="Q19" s="27"/>
      <c r="R19" s="28" t="s">
        <v>2727</v>
      </c>
      <c r="S19" s="8" t="s">
        <v>2728</v>
      </c>
      <c r="T19" s="29" t="s">
        <v>2698</v>
      </c>
      <c r="U19" s="24"/>
    </row>
    <row r="20">
      <c r="A20" s="30">
        <v>7.62230061782E12</v>
      </c>
      <c r="B20" s="20" t="s">
        <v>5160</v>
      </c>
      <c r="C20" s="21">
        <v>0.15</v>
      </c>
      <c r="D20" s="21">
        <v>0.079</v>
      </c>
      <c r="E20" s="21">
        <v>0.02</v>
      </c>
      <c r="F20" s="22">
        <v>15.0</v>
      </c>
      <c r="G20" s="23"/>
      <c r="H20" s="24" t="s">
        <v>3169</v>
      </c>
      <c r="I20" s="21" t="s">
        <v>3170</v>
      </c>
      <c r="J20" s="24" t="s">
        <v>2730</v>
      </c>
      <c r="K20" s="21" t="s">
        <v>2731</v>
      </c>
      <c r="L20" s="25" t="s">
        <v>2732</v>
      </c>
      <c r="M20" s="26" t="s">
        <v>28</v>
      </c>
      <c r="N20" s="24" t="s">
        <v>626</v>
      </c>
      <c r="O20" s="24" t="s">
        <v>649</v>
      </c>
      <c r="P20" s="27"/>
      <c r="Q20" s="27"/>
      <c r="R20" s="28" t="s">
        <v>2733</v>
      </c>
      <c r="S20" s="8" t="s">
        <v>2734</v>
      </c>
      <c r="T20" s="29" t="s">
        <v>2698</v>
      </c>
      <c r="U20" s="24"/>
    </row>
    <row r="21">
      <c r="A21" s="30">
        <v>8.39762002386E11</v>
      </c>
      <c r="B21" s="20" t="s">
        <v>1921</v>
      </c>
      <c r="C21" s="21">
        <v>0.06</v>
      </c>
      <c r="D21" s="21">
        <v>0.195</v>
      </c>
      <c r="E21" s="21">
        <v>0.06</v>
      </c>
      <c r="F21" s="22">
        <v>5.0</v>
      </c>
      <c r="G21" s="23"/>
      <c r="H21" s="24" t="s">
        <v>1913</v>
      </c>
      <c r="I21" s="21" t="s">
        <v>1914</v>
      </c>
      <c r="J21" s="24" t="s">
        <v>1922</v>
      </c>
      <c r="K21" s="21" t="s">
        <v>1923</v>
      </c>
      <c r="L21" s="25" t="s">
        <v>1924</v>
      </c>
      <c r="M21" s="26" t="s">
        <v>28</v>
      </c>
      <c r="N21" s="24" t="s">
        <v>1555</v>
      </c>
      <c r="O21" s="24" t="s">
        <v>1556</v>
      </c>
      <c r="P21" s="27"/>
      <c r="Q21" s="27"/>
      <c r="R21" s="28" t="s">
        <v>1925</v>
      </c>
      <c r="S21" s="8" t="s">
        <v>1926</v>
      </c>
      <c r="T21" s="29" t="s">
        <v>1914</v>
      </c>
      <c r="U21" s="24"/>
    </row>
    <row r="22">
      <c r="A22" s="30">
        <v>8.39762002379E11</v>
      </c>
      <c r="B22" s="20" t="s">
        <v>1933</v>
      </c>
      <c r="C22" s="21">
        <v>0.06</v>
      </c>
      <c r="D22" s="21">
        <v>0.195</v>
      </c>
      <c r="E22" s="21">
        <v>0.06</v>
      </c>
      <c r="F22" s="22">
        <v>5.0</v>
      </c>
      <c r="G22" s="23"/>
      <c r="H22" s="24" t="s">
        <v>1913</v>
      </c>
      <c r="I22" s="21" t="s">
        <v>1914</v>
      </c>
      <c r="J22" s="24" t="s">
        <v>1934</v>
      </c>
      <c r="K22" s="21" t="s">
        <v>1935</v>
      </c>
      <c r="L22" s="25" t="s">
        <v>1936</v>
      </c>
      <c r="M22" s="26" t="s">
        <v>28</v>
      </c>
      <c r="N22" s="24" t="s">
        <v>1555</v>
      </c>
      <c r="O22" s="24" t="s">
        <v>1556</v>
      </c>
      <c r="P22" s="27"/>
      <c r="Q22" s="27"/>
      <c r="R22" s="31" t="s">
        <v>1937</v>
      </c>
      <c r="S22" s="8" t="s">
        <v>1938</v>
      </c>
      <c r="T22" s="29" t="s">
        <v>1914</v>
      </c>
      <c r="U22" s="24"/>
    </row>
    <row r="23">
      <c r="A23" s="30">
        <v>8.39762000658E11</v>
      </c>
      <c r="B23" s="20" t="s">
        <v>1912</v>
      </c>
      <c r="C23" s="21">
        <v>0.08</v>
      </c>
      <c r="D23" s="21">
        <v>0.26</v>
      </c>
      <c r="E23" s="21">
        <v>0.08</v>
      </c>
      <c r="F23" s="22">
        <v>4.0</v>
      </c>
      <c r="G23" s="23"/>
      <c r="H23" s="24" t="s">
        <v>1913</v>
      </c>
      <c r="I23" s="21" t="s">
        <v>1914</v>
      </c>
      <c r="J23" s="24" t="s">
        <v>1915</v>
      </c>
      <c r="K23" s="21" t="s">
        <v>1916</v>
      </c>
      <c r="L23" s="25" t="s">
        <v>1917</v>
      </c>
      <c r="M23" s="26" t="s">
        <v>28</v>
      </c>
      <c r="N23" s="24" t="s">
        <v>1555</v>
      </c>
      <c r="O23" s="24" t="s">
        <v>1918</v>
      </c>
      <c r="P23" s="27"/>
      <c r="Q23" s="27"/>
      <c r="R23" s="28" t="s">
        <v>1919</v>
      </c>
      <c r="S23" s="8" t="s">
        <v>1920</v>
      </c>
      <c r="T23" s="29" t="s">
        <v>1914</v>
      </c>
      <c r="U23" s="24"/>
    </row>
    <row r="24">
      <c r="A24" s="30">
        <v>8.39762000641E11</v>
      </c>
      <c r="B24" s="20" t="s">
        <v>1927</v>
      </c>
      <c r="C24" s="21">
        <v>0.08</v>
      </c>
      <c r="D24" s="21">
        <v>0.26</v>
      </c>
      <c r="E24" s="21">
        <v>0.08</v>
      </c>
      <c r="F24" s="22">
        <v>4.0</v>
      </c>
      <c r="G24" s="23"/>
      <c r="H24" s="24" t="s">
        <v>1913</v>
      </c>
      <c r="I24" s="21" t="s">
        <v>1914</v>
      </c>
      <c r="J24" s="24" t="s">
        <v>1928</v>
      </c>
      <c r="K24" s="21" t="s">
        <v>1929</v>
      </c>
      <c r="L24" s="25" t="s">
        <v>1930</v>
      </c>
      <c r="M24" s="26" t="s">
        <v>28</v>
      </c>
      <c r="N24" s="24" t="s">
        <v>1555</v>
      </c>
      <c r="O24" s="24" t="s">
        <v>1918</v>
      </c>
      <c r="P24" s="27"/>
      <c r="Q24" s="27"/>
      <c r="R24" s="28" t="s">
        <v>1931</v>
      </c>
      <c r="S24" s="8" t="s">
        <v>1932</v>
      </c>
      <c r="T24" s="29" t="s">
        <v>1914</v>
      </c>
      <c r="U24" s="24"/>
    </row>
    <row r="25">
      <c r="A25" s="30">
        <v>8.003753158587E12</v>
      </c>
      <c r="B25" s="20" t="s">
        <v>5161</v>
      </c>
      <c r="C25" s="21">
        <v>0.09</v>
      </c>
      <c r="D25" s="21">
        <v>0.195</v>
      </c>
      <c r="E25" s="21">
        <v>0.13</v>
      </c>
      <c r="F25" s="22">
        <v>2.0</v>
      </c>
      <c r="G25" s="23"/>
      <c r="H25" s="24" t="s">
        <v>1905</v>
      </c>
      <c r="I25" s="21" t="s">
        <v>5162</v>
      </c>
      <c r="J25" s="24" t="s">
        <v>1907</v>
      </c>
      <c r="K25" s="21" t="s">
        <v>5163</v>
      </c>
      <c r="L25" s="25" t="s">
        <v>1909</v>
      </c>
      <c r="M25" s="26" t="s">
        <v>28</v>
      </c>
      <c r="N25" s="24" t="s">
        <v>1222</v>
      </c>
      <c r="O25" s="24" t="s">
        <v>1223</v>
      </c>
      <c r="P25" s="27"/>
      <c r="Q25" s="27"/>
      <c r="R25" s="31" t="s">
        <v>1910</v>
      </c>
      <c r="S25" s="33" t="s">
        <v>1911</v>
      </c>
      <c r="T25" s="29" t="s">
        <v>1256</v>
      </c>
      <c r="U25" s="24"/>
    </row>
    <row r="26">
      <c r="A26" s="30">
        <v>7.290002771111E12</v>
      </c>
      <c r="B26" s="20" t="s">
        <v>5164</v>
      </c>
      <c r="C26" s="21">
        <v>0.11</v>
      </c>
      <c r="D26" s="21">
        <v>0.15</v>
      </c>
      <c r="E26" s="21">
        <v>0.057</v>
      </c>
      <c r="F26" s="22">
        <v>5.0</v>
      </c>
      <c r="G26" s="23"/>
      <c r="H26" s="24" t="s">
        <v>5165</v>
      </c>
      <c r="I26" s="21" t="s">
        <v>5166</v>
      </c>
      <c r="J26" s="24" t="s">
        <v>48</v>
      </c>
      <c r="K26" s="21" t="s">
        <v>49</v>
      </c>
      <c r="L26" s="25" t="s">
        <v>50</v>
      </c>
      <c r="M26" s="26" t="s">
        <v>37</v>
      </c>
      <c r="N26" s="24" t="s">
        <v>51</v>
      </c>
      <c r="O26" s="24" t="s">
        <v>52</v>
      </c>
      <c r="P26" s="27"/>
      <c r="Q26" s="27"/>
      <c r="R26" s="31" t="s">
        <v>53</v>
      </c>
      <c r="S26" s="8" t="s">
        <v>54</v>
      </c>
      <c r="T26" s="29" t="e">
        <v>#N/A</v>
      </c>
      <c r="U26" s="24"/>
    </row>
    <row r="27">
      <c r="A27" s="30">
        <v>7.290107947497E12</v>
      </c>
      <c r="B27" s="20" t="s">
        <v>1307</v>
      </c>
      <c r="C27" s="21">
        <v>0.135</v>
      </c>
      <c r="D27" s="21">
        <v>0.035</v>
      </c>
      <c r="E27" s="21">
        <v>0.02</v>
      </c>
      <c r="F27" s="22">
        <v>15.0</v>
      </c>
      <c r="G27" s="23"/>
      <c r="H27" s="24" t="s">
        <v>1308</v>
      </c>
      <c r="I27" s="21" t="s">
        <v>1309</v>
      </c>
      <c r="J27" s="24" t="s">
        <v>1310</v>
      </c>
      <c r="K27" s="21" t="s">
        <v>1311</v>
      </c>
      <c r="L27" s="25" t="s">
        <v>1312</v>
      </c>
      <c r="M27" s="26" t="s">
        <v>28</v>
      </c>
      <c r="N27" s="24" t="s">
        <v>320</v>
      </c>
      <c r="O27" s="24" t="s">
        <v>321</v>
      </c>
      <c r="P27" s="27"/>
      <c r="Q27" s="27"/>
      <c r="R27" s="31" t="s">
        <v>1313</v>
      </c>
      <c r="S27" s="33" t="s">
        <v>1314</v>
      </c>
      <c r="T27" s="29" t="s">
        <v>1309</v>
      </c>
      <c r="U27" s="24"/>
    </row>
    <row r="28">
      <c r="A28" s="30">
        <v>7.290106527386E12</v>
      </c>
      <c r="B28" s="20" t="s">
        <v>1296</v>
      </c>
      <c r="C28" s="21">
        <v>0.13</v>
      </c>
      <c r="D28" s="21">
        <v>0.18</v>
      </c>
      <c r="E28" s="21">
        <v>0.03</v>
      </c>
      <c r="F28" s="22">
        <v>10.0</v>
      </c>
      <c r="G28" s="23"/>
      <c r="H28" s="24" t="s">
        <v>1308</v>
      </c>
      <c r="I28" s="21" t="s">
        <v>1309</v>
      </c>
      <c r="J28" s="24" t="s">
        <v>1300</v>
      </c>
      <c r="K28" s="21" t="s">
        <v>1301</v>
      </c>
      <c r="L28" s="25" t="s">
        <v>1302</v>
      </c>
      <c r="M28" s="26" t="s">
        <v>28</v>
      </c>
      <c r="N28" s="24" t="s">
        <v>954</v>
      </c>
      <c r="O28" s="24" t="s">
        <v>1303</v>
      </c>
      <c r="P28" s="27"/>
      <c r="Q28" s="27"/>
      <c r="R28" s="28" t="s">
        <v>1304</v>
      </c>
      <c r="S28" s="8" t="s">
        <v>1305</v>
      </c>
      <c r="T28" s="29" t="s">
        <v>1306</v>
      </c>
      <c r="U28" s="24"/>
    </row>
    <row r="29">
      <c r="A29" s="30">
        <v>7.290107947503E12</v>
      </c>
      <c r="B29" s="20" t="s">
        <v>1315</v>
      </c>
      <c r="C29" s="21">
        <v>0.135</v>
      </c>
      <c r="D29" s="21">
        <v>0.035</v>
      </c>
      <c r="E29" s="21">
        <v>0.02</v>
      </c>
      <c r="F29" s="22">
        <v>15.0</v>
      </c>
      <c r="G29" s="23"/>
      <c r="H29" s="24" t="s">
        <v>1316</v>
      </c>
      <c r="I29" s="21" t="s">
        <v>1309</v>
      </c>
      <c r="J29" s="24" t="s">
        <v>1317</v>
      </c>
      <c r="K29" s="21" t="s">
        <v>1318</v>
      </c>
      <c r="L29" s="25" t="s">
        <v>1319</v>
      </c>
      <c r="M29" s="26" t="s">
        <v>28</v>
      </c>
      <c r="N29" s="24" t="s">
        <v>320</v>
      </c>
      <c r="O29" s="24" t="s">
        <v>321</v>
      </c>
      <c r="P29" s="27"/>
      <c r="Q29" s="27"/>
      <c r="R29" s="31" t="s">
        <v>1320</v>
      </c>
      <c r="S29" s="33" t="s">
        <v>1321</v>
      </c>
      <c r="T29" s="29" t="s">
        <v>1309</v>
      </c>
      <c r="U29" s="24"/>
    </row>
    <row r="30">
      <c r="A30" s="30">
        <v>7.29011056593E12</v>
      </c>
      <c r="B30" s="20" t="s">
        <v>1322</v>
      </c>
      <c r="C30" s="21">
        <v>0.135</v>
      </c>
      <c r="D30" s="21">
        <v>0.035</v>
      </c>
      <c r="E30" s="21">
        <v>0.02</v>
      </c>
      <c r="F30" s="22">
        <v>15.0</v>
      </c>
      <c r="G30" s="23"/>
      <c r="H30" s="24" t="s">
        <v>1316</v>
      </c>
      <c r="I30" s="21" t="s">
        <v>1309</v>
      </c>
      <c r="J30" s="24" t="s">
        <v>1323</v>
      </c>
      <c r="K30" s="21" t="s">
        <v>1324</v>
      </c>
      <c r="L30" s="25" t="s">
        <v>1325</v>
      </c>
      <c r="M30" s="26" t="s">
        <v>28</v>
      </c>
      <c r="N30" s="24" t="s">
        <v>320</v>
      </c>
      <c r="O30" s="24" t="s">
        <v>321</v>
      </c>
      <c r="P30" s="27"/>
      <c r="Q30" s="27"/>
      <c r="R30" s="31" t="s">
        <v>1326</v>
      </c>
      <c r="S30" s="33" t="s">
        <v>1327</v>
      </c>
      <c r="T30" s="29" t="s">
        <v>1309</v>
      </c>
      <c r="U30" s="24"/>
    </row>
    <row r="31">
      <c r="A31" s="30">
        <v>8.410793282934E12</v>
      </c>
      <c r="B31" s="20" t="s">
        <v>1335</v>
      </c>
      <c r="C31" s="21">
        <v>0.06</v>
      </c>
      <c r="D31" s="21">
        <v>0.228</v>
      </c>
      <c r="E31" s="21">
        <v>0.06</v>
      </c>
      <c r="F31" s="22">
        <v>5.0</v>
      </c>
      <c r="G31" s="23"/>
      <c r="H31" s="24" t="s">
        <v>1336</v>
      </c>
      <c r="I31" s="21" t="s">
        <v>1337</v>
      </c>
      <c r="J31" s="24" t="s">
        <v>1338</v>
      </c>
      <c r="K31" s="21" t="s">
        <v>1339</v>
      </c>
      <c r="L31" s="25" t="s">
        <v>1340</v>
      </c>
      <c r="M31" s="26" t="s">
        <v>28</v>
      </c>
      <c r="N31" s="24" t="s">
        <v>365</v>
      </c>
      <c r="O31" s="24" t="s">
        <v>536</v>
      </c>
      <c r="P31" s="27"/>
      <c r="Q31" s="27"/>
      <c r="R31" s="28" t="s">
        <v>1341</v>
      </c>
      <c r="S31" s="8" t="s">
        <v>1342</v>
      </c>
      <c r="T31" s="29" t="s">
        <v>1343</v>
      </c>
      <c r="U31" s="24"/>
    </row>
    <row r="32">
      <c r="A32" s="30">
        <v>7.290008775816E12</v>
      </c>
      <c r="B32" s="20" t="s">
        <v>3231</v>
      </c>
      <c r="C32" s="21">
        <v>0.13</v>
      </c>
      <c r="D32" s="21">
        <v>0.19</v>
      </c>
      <c r="E32" s="21">
        <v>0.055</v>
      </c>
      <c r="F32" s="22">
        <v>5.0</v>
      </c>
      <c r="G32" s="23"/>
      <c r="H32" s="24" t="s">
        <v>3232</v>
      </c>
      <c r="I32" s="21" t="s">
        <v>3233</v>
      </c>
      <c r="J32" s="24" t="s">
        <v>3234</v>
      </c>
      <c r="K32" s="21" t="s">
        <v>3235</v>
      </c>
      <c r="L32" s="25" t="s">
        <v>3236</v>
      </c>
      <c r="M32" s="26" t="s">
        <v>37</v>
      </c>
      <c r="N32" s="24" t="s">
        <v>2364</v>
      </c>
      <c r="O32" s="24" t="s">
        <v>3164</v>
      </c>
      <c r="P32" s="27"/>
      <c r="Q32" s="27"/>
      <c r="R32" s="28" t="s">
        <v>3237</v>
      </c>
      <c r="S32" s="8" t="s">
        <v>3238</v>
      </c>
      <c r="T32" s="29" t="e">
        <v>#N/A</v>
      </c>
      <c r="U32" s="24"/>
    </row>
    <row r="33">
      <c r="A33" s="30">
        <v>7.290008775823E12</v>
      </c>
      <c r="B33" s="20" t="s">
        <v>3239</v>
      </c>
      <c r="C33" s="21">
        <v>0.13</v>
      </c>
      <c r="D33" s="21">
        <v>0.19</v>
      </c>
      <c r="E33" s="21">
        <v>0.055</v>
      </c>
      <c r="F33" s="22">
        <v>5.0</v>
      </c>
      <c r="G33" s="23"/>
      <c r="H33" s="24" t="s">
        <v>3232</v>
      </c>
      <c r="I33" s="21" t="s">
        <v>3233</v>
      </c>
      <c r="J33" s="24" t="s">
        <v>3240</v>
      </c>
      <c r="K33" s="21" t="s">
        <v>3241</v>
      </c>
      <c r="L33" s="25" t="s">
        <v>3242</v>
      </c>
      <c r="M33" s="26" t="s">
        <v>37</v>
      </c>
      <c r="N33" s="24" t="s">
        <v>2364</v>
      </c>
      <c r="O33" s="24" t="s">
        <v>3164</v>
      </c>
      <c r="P33" s="27"/>
      <c r="Q33" s="27"/>
      <c r="R33" s="31" t="s">
        <v>3243</v>
      </c>
      <c r="S33" s="8" t="s">
        <v>3244</v>
      </c>
      <c r="T33" s="29" t="e">
        <v>#N/A</v>
      </c>
      <c r="U33" s="24"/>
    </row>
    <row r="34">
      <c r="A34" s="30">
        <v>7.290000077017E12</v>
      </c>
      <c r="B34" s="20" t="s">
        <v>3245</v>
      </c>
      <c r="C34" s="21">
        <v>0.25</v>
      </c>
      <c r="D34" s="21">
        <v>0.05</v>
      </c>
      <c r="E34" s="21">
        <v>0.06</v>
      </c>
      <c r="F34" s="22">
        <v>5.0</v>
      </c>
      <c r="G34" s="23"/>
      <c r="H34" s="24" t="s">
        <v>3232</v>
      </c>
      <c r="I34" s="21" t="s">
        <v>3233</v>
      </c>
      <c r="J34" s="24" t="s">
        <v>3246</v>
      </c>
      <c r="K34" s="21" t="s">
        <v>3247</v>
      </c>
      <c r="L34" s="25" t="s">
        <v>3248</v>
      </c>
      <c r="M34" s="26" t="s">
        <v>37</v>
      </c>
      <c r="N34" s="24" t="s">
        <v>2364</v>
      </c>
      <c r="O34" s="24" t="s">
        <v>3164</v>
      </c>
      <c r="P34" s="27"/>
      <c r="Q34" s="27"/>
      <c r="R34" s="28" t="s">
        <v>3249</v>
      </c>
      <c r="S34" s="8" t="s">
        <v>3250</v>
      </c>
      <c r="T34" s="29" t="e">
        <v>#N/A</v>
      </c>
      <c r="U34" s="24"/>
    </row>
    <row r="35">
      <c r="A35" s="30">
        <v>7.290000074962E12</v>
      </c>
      <c r="B35" s="20" t="s">
        <v>3251</v>
      </c>
      <c r="C35" s="21">
        <v>0.13</v>
      </c>
      <c r="D35" s="21">
        <v>0.18</v>
      </c>
      <c r="E35" s="21">
        <v>0.065</v>
      </c>
      <c r="F35" s="22">
        <v>5.0</v>
      </c>
      <c r="G35" s="23"/>
      <c r="H35" s="24" t="s">
        <v>3232</v>
      </c>
      <c r="I35" s="21" t="s">
        <v>3233</v>
      </c>
      <c r="J35" s="24" t="s">
        <v>3252</v>
      </c>
      <c r="K35" s="21" t="s">
        <v>3253</v>
      </c>
      <c r="L35" s="25" t="s">
        <v>3254</v>
      </c>
      <c r="M35" s="26" t="s">
        <v>37</v>
      </c>
      <c r="N35" s="24" t="s">
        <v>2364</v>
      </c>
      <c r="O35" s="24" t="s">
        <v>2647</v>
      </c>
      <c r="P35" s="27"/>
      <c r="Q35" s="27"/>
      <c r="R35" s="28" t="s">
        <v>3255</v>
      </c>
      <c r="S35" s="8" t="s">
        <v>3256</v>
      </c>
      <c r="T35" s="29" t="e">
        <v>#N/A</v>
      </c>
      <c r="U35" s="24"/>
    </row>
    <row r="36">
      <c r="A36" s="30">
        <v>7.290000075143E12</v>
      </c>
      <c r="B36" s="20" t="s">
        <v>3257</v>
      </c>
      <c r="C36" s="21">
        <v>0.285</v>
      </c>
      <c r="D36" s="21">
        <v>0.08</v>
      </c>
      <c r="E36" s="21">
        <v>0.05</v>
      </c>
      <c r="F36" s="22">
        <v>6.0</v>
      </c>
      <c r="G36" s="23"/>
      <c r="H36" s="24" t="s">
        <v>3232</v>
      </c>
      <c r="I36" s="21" t="s">
        <v>3233</v>
      </c>
      <c r="J36" s="24" t="s">
        <v>3258</v>
      </c>
      <c r="K36" s="21" t="s">
        <v>3259</v>
      </c>
      <c r="L36" s="25" t="s">
        <v>3260</v>
      </c>
      <c r="M36" s="26" t="s">
        <v>37</v>
      </c>
      <c r="N36" s="24" t="s">
        <v>2364</v>
      </c>
      <c r="O36" s="24" t="s">
        <v>2647</v>
      </c>
      <c r="P36" s="27"/>
      <c r="Q36" s="27"/>
      <c r="R36" s="28" t="s">
        <v>3261</v>
      </c>
      <c r="S36" s="8" t="s">
        <v>3262</v>
      </c>
      <c r="T36" s="29" t="e">
        <v>#N/A</v>
      </c>
      <c r="U36" s="24"/>
    </row>
    <row r="37">
      <c r="A37" s="30">
        <v>63133.0</v>
      </c>
      <c r="B37" s="20" t="s">
        <v>3263</v>
      </c>
      <c r="C37" s="21">
        <v>0.065</v>
      </c>
      <c r="D37" s="21">
        <v>0.16</v>
      </c>
      <c r="E37" s="21">
        <v>0.02</v>
      </c>
      <c r="F37" s="22">
        <v>15.0</v>
      </c>
      <c r="G37" s="23"/>
      <c r="H37" s="24" t="s">
        <v>3232</v>
      </c>
      <c r="I37" s="21" t="s">
        <v>3233</v>
      </c>
      <c r="J37" s="24" t="s">
        <v>3264</v>
      </c>
      <c r="K37" s="21" t="s">
        <v>3265</v>
      </c>
      <c r="L37" s="25" t="s">
        <v>3266</v>
      </c>
      <c r="M37" s="26" t="s">
        <v>28</v>
      </c>
      <c r="N37" s="24" t="s">
        <v>3267</v>
      </c>
      <c r="O37" s="24" t="s">
        <v>3268</v>
      </c>
      <c r="P37" s="27"/>
      <c r="Q37" s="27"/>
      <c r="R37" s="28" t="s">
        <v>3269</v>
      </c>
      <c r="S37" s="8" t="s">
        <v>3270</v>
      </c>
      <c r="T37" s="29" t="s">
        <v>3271</v>
      </c>
      <c r="U37" s="24"/>
    </row>
    <row r="38">
      <c r="A38" s="30">
        <v>7.290000066349E12</v>
      </c>
      <c r="B38" s="20" t="s">
        <v>103</v>
      </c>
      <c r="C38" s="21">
        <v>0.145</v>
      </c>
      <c r="D38" s="21">
        <v>0.225</v>
      </c>
      <c r="E38" s="21">
        <v>0.06</v>
      </c>
      <c r="F38" s="22">
        <v>5.0</v>
      </c>
      <c r="G38" s="23"/>
      <c r="H38" s="24" t="s">
        <v>104</v>
      </c>
      <c r="I38" s="21" t="s">
        <v>105</v>
      </c>
      <c r="J38" s="24" t="s">
        <v>106</v>
      </c>
      <c r="K38" s="21" t="s">
        <v>107</v>
      </c>
      <c r="L38" s="25" t="s">
        <v>108</v>
      </c>
      <c r="M38" s="26" t="s">
        <v>37</v>
      </c>
      <c r="N38" s="24" t="s">
        <v>109</v>
      </c>
      <c r="O38" s="24" t="s">
        <v>110</v>
      </c>
      <c r="P38" s="27"/>
      <c r="Q38" s="27"/>
      <c r="R38" s="28" t="s">
        <v>111</v>
      </c>
      <c r="S38" s="8" t="s">
        <v>112</v>
      </c>
      <c r="T38" s="29" t="e">
        <v>#N/A</v>
      </c>
      <c r="U38" s="21" t="s">
        <v>113</v>
      </c>
    </row>
    <row r="39">
      <c r="A39" s="30">
        <v>7.290000066332E12</v>
      </c>
      <c r="B39" s="20" t="s">
        <v>114</v>
      </c>
      <c r="C39" s="21">
        <v>0.125</v>
      </c>
      <c r="D39" s="21">
        <v>0.1665</v>
      </c>
      <c r="E39" s="21">
        <v>0.06</v>
      </c>
      <c r="F39" s="22">
        <v>5.0</v>
      </c>
      <c r="G39" s="23"/>
      <c r="H39" s="24" t="s">
        <v>104</v>
      </c>
      <c r="I39" s="21" t="s">
        <v>105</v>
      </c>
      <c r="J39" s="24" t="s">
        <v>115</v>
      </c>
      <c r="K39" s="21" t="s">
        <v>116</v>
      </c>
      <c r="L39" s="25" t="s">
        <v>117</v>
      </c>
      <c r="M39" s="26" t="s">
        <v>37</v>
      </c>
      <c r="N39" s="24" t="s">
        <v>109</v>
      </c>
      <c r="O39" s="24" t="s">
        <v>110</v>
      </c>
      <c r="P39" s="27"/>
      <c r="Q39" s="27"/>
      <c r="R39" s="28" t="s">
        <v>118</v>
      </c>
      <c r="S39" s="8" t="s">
        <v>119</v>
      </c>
      <c r="T39" s="29" t="e">
        <v>#N/A</v>
      </c>
      <c r="U39" s="21" t="s">
        <v>113</v>
      </c>
    </row>
    <row r="40">
      <c r="A40" s="30">
        <v>7.290104500572E12</v>
      </c>
      <c r="B40" s="20" t="s">
        <v>120</v>
      </c>
      <c r="C40" s="21">
        <v>0.125</v>
      </c>
      <c r="D40" s="21">
        <v>0.1665</v>
      </c>
      <c r="E40" s="21">
        <v>0.06</v>
      </c>
      <c r="F40" s="22">
        <v>5.0</v>
      </c>
      <c r="G40" s="23"/>
      <c r="H40" s="24" t="s">
        <v>104</v>
      </c>
      <c r="I40" s="21" t="s">
        <v>105</v>
      </c>
      <c r="J40" s="24" t="s">
        <v>121</v>
      </c>
      <c r="K40" s="21" t="s">
        <v>122</v>
      </c>
      <c r="L40" s="25" t="s">
        <v>123</v>
      </c>
      <c r="M40" s="26" t="s">
        <v>28</v>
      </c>
      <c r="N40" s="24" t="s">
        <v>109</v>
      </c>
      <c r="O40" s="24" t="s">
        <v>110</v>
      </c>
      <c r="P40" s="27"/>
      <c r="Q40" s="27"/>
      <c r="R40" s="28" t="s">
        <v>124</v>
      </c>
      <c r="S40" s="8" t="s">
        <v>123</v>
      </c>
      <c r="T40" s="29" t="s">
        <v>105</v>
      </c>
      <c r="U40" s="21" t="s">
        <v>113</v>
      </c>
    </row>
    <row r="41">
      <c r="A41" s="30">
        <v>7.290106576223E12</v>
      </c>
      <c r="B41" s="20" t="s">
        <v>125</v>
      </c>
      <c r="C41" s="21">
        <v>0.13</v>
      </c>
      <c r="D41" s="21">
        <v>0.12</v>
      </c>
      <c r="E41" s="21">
        <v>0.04</v>
      </c>
      <c r="F41" s="22">
        <v>8.0</v>
      </c>
      <c r="G41" s="23"/>
      <c r="H41" s="24" t="s">
        <v>104</v>
      </c>
      <c r="I41" s="21" t="s">
        <v>105</v>
      </c>
      <c r="J41" s="24" t="s">
        <v>126</v>
      </c>
      <c r="K41" s="21" t="s">
        <v>127</v>
      </c>
      <c r="L41" s="25" t="s">
        <v>128</v>
      </c>
      <c r="M41" s="26" t="s">
        <v>28</v>
      </c>
      <c r="N41" s="24" t="s">
        <v>109</v>
      </c>
      <c r="O41" s="24" t="s">
        <v>110</v>
      </c>
      <c r="P41" s="27"/>
      <c r="Q41" s="27"/>
      <c r="R41" s="28" t="s">
        <v>129</v>
      </c>
      <c r="S41" s="8" t="s">
        <v>128</v>
      </c>
      <c r="T41" s="29" t="s">
        <v>105</v>
      </c>
      <c r="U41" s="21" t="s">
        <v>113</v>
      </c>
    </row>
    <row r="42">
      <c r="A42" s="30">
        <v>7.290013038432E12</v>
      </c>
      <c r="B42" s="20" t="s">
        <v>130</v>
      </c>
      <c r="C42" s="21">
        <v>0.09999999</v>
      </c>
      <c r="D42" s="21">
        <v>0.35</v>
      </c>
      <c r="E42" s="21">
        <v>0.09</v>
      </c>
      <c r="F42" s="22">
        <v>3.0</v>
      </c>
      <c r="G42" s="23"/>
      <c r="H42" s="24" t="s">
        <v>131</v>
      </c>
      <c r="I42" s="21" t="s">
        <v>132</v>
      </c>
      <c r="J42" s="24" t="s">
        <v>134</v>
      </c>
      <c r="K42" s="21" t="s">
        <v>135</v>
      </c>
      <c r="L42" s="25" t="s">
        <v>136</v>
      </c>
      <c r="M42" s="26" t="s">
        <v>28</v>
      </c>
      <c r="N42" s="24" t="s">
        <v>137</v>
      </c>
      <c r="O42" s="24" t="s">
        <v>138</v>
      </c>
      <c r="P42" s="27"/>
      <c r="Q42" s="27"/>
      <c r="R42" s="28" t="s">
        <v>139</v>
      </c>
      <c r="S42" s="8" t="s">
        <v>140</v>
      </c>
      <c r="T42" s="29" t="s">
        <v>141</v>
      </c>
      <c r="U42" s="24"/>
    </row>
    <row r="43">
      <c r="A43" s="30">
        <v>2.0</v>
      </c>
      <c r="B43" s="20" t="s">
        <v>2588</v>
      </c>
      <c r="C43" s="21">
        <v>1.2</v>
      </c>
      <c r="D43" s="21">
        <v>0.18</v>
      </c>
      <c r="E43" s="21">
        <v>0.4</v>
      </c>
      <c r="F43" s="22">
        <v>15.0</v>
      </c>
      <c r="G43" s="23"/>
      <c r="H43" s="24" t="s">
        <v>2589</v>
      </c>
      <c r="I43" s="21" t="s">
        <v>2590</v>
      </c>
      <c r="J43" s="24" t="s">
        <v>2591</v>
      </c>
      <c r="K43" s="21" t="s">
        <v>2592</v>
      </c>
      <c r="L43" s="25" t="s">
        <v>2593</v>
      </c>
      <c r="M43" s="26" t="s">
        <v>37</v>
      </c>
      <c r="N43" s="23"/>
      <c r="O43" s="23"/>
      <c r="P43" s="23"/>
      <c r="Q43" s="41"/>
      <c r="R43" s="31" t="s">
        <v>2594</v>
      </c>
      <c r="S43" s="33" t="s">
        <v>2595</v>
      </c>
      <c r="T43" s="29" t="e">
        <v>#N/A</v>
      </c>
      <c r="U43" s="23"/>
    </row>
    <row r="44">
      <c r="A44" s="30">
        <v>6.13008753382E11</v>
      </c>
      <c r="B44" s="20" t="s">
        <v>142</v>
      </c>
      <c r="C44" s="21">
        <v>0.065</v>
      </c>
      <c r="D44" s="21">
        <v>0.2</v>
      </c>
      <c r="E44" s="21">
        <v>0.065</v>
      </c>
      <c r="F44" s="22">
        <v>5.0</v>
      </c>
      <c r="G44" s="23"/>
      <c r="H44" s="24" t="s">
        <v>143</v>
      </c>
      <c r="I44" s="21" t="s">
        <v>144</v>
      </c>
      <c r="J44" s="24" t="s">
        <v>146</v>
      </c>
      <c r="K44" s="21" t="s">
        <v>147</v>
      </c>
      <c r="L44" s="25" t="s">
        <v>148</v>
      </c>
      <c r="M44" s="26" t="s">
        <v>28</v>
      </c>
      <c r="N44" s="24" t="s">
        <v>149</v>
      </c>
      <c r="O44" s="24" t="s">
        <v>150</v>
      </c>
      <c r="P44" s="27"/>
      <c r="Q44" s="27"/>
      <c r="R44" s="28" t="s">
        <v>151</v>
      </c>
      <c r="S44" s="8" t="s">
        <v>152</v>
      </c>
      <c r="T44" s="29" t="s">
        <v>144</v>
      </c>
      <c r="U44" s="24"/>
    </row>
    <row r="45">
      <c r="A45" s="30">
        <v>6.1300875329E11</v>
      </c>
      <c r="B45" s="20" t="s">
        <v>172</v>
      </c>
      <c r="C45" s="21">
        <v>0.065</v>
      </c>
      <c r="D45" s="21">
        <v>0.2</v>
      </c>
      <c r="E45" s="21">
        <v>0.065</v>
      </c>
      <c r="F45" s="22">
        <v>5.0</v>
      </c>
      <c r="G45" s="23"/>
      <c r="H45" s="24" t="s">
        <v>143</v>
      </c>
      <c r="I45" s="21" t="s">
        <v>144</v>
      </c>
      <c r="J45" s="24" t="s">
        <v>173</v>
      </c>
      <c r="K45" s="21" t="s">
        <v>174</v>
      </c>
      <c r="L45" s="25" t="s">
        <v>175</v>
      </c>
      <c r="M45" s="26" t="s">
        <v>28</v>
      </c>
      <c r="N45" s="24" t="s">
        <v>149</v>
      </c>
      <c r="O45" s="24" t="s">
        <v>150</v>
      </c>
      <c r="P45" s="27"/>
      <c r="Q45" s="27"/>
      <c r="R45" s="28" t="s">
        <v>176</v>
      </c>
      <c r="S45" s="8" t="s">
        <v>177</v>
      </c>
      <c r="T45" s="29" t="s">
        <v>144</v>
      </c>
      <c r="U45" s="24"/>
    </row>
    <row r="46">
      <c r="A46" s="30">
        <v>6.1300875332E11</v>
      </c>
      <c r="B46" s="20" t="s">
        <v>153</v>
      </c>
      <c r="C46" s="21">
        <v>0.065</v>
      </c>
      <c r="D46" s="21">
        <v>0.2</v>
      </c>
      <c r="E46" s="21">
        <v>0.065</v>
      </c>
      <c r="F46" s="22">
        <v>5.0</v>
      </c>
      <c r="G46" s="23"/>
      <c r="H46" s="24" t="s">
        <v>143</v>
      </c>
      <c r="I46" s="21" t="s">
        <v>144</v>
      </c>
      <c r="J46" s="24" t="s">
        <v>154</v>
      </c>
      <c r="K46" s="21" t="s">
        <v>155</v>
      </c>
      <c r="L46" s="25" t="s">
        <v>156</v>
      </c>
      <c r="M46" s="26" t="s">
        <v>28</v>
      </c>
      <c r="N46" s="24" t="s">
        <v>149</v>
      </c>
      <c r="O46" s="24" t="s">
        <v>150</v>
      </c>
      <c r="P46" s="27"/>
      <c r="Q46" s="27"/>
      <c r="R46" s="28" t="s">
        <v>157</v>
      </c>
      <c r="S46" s="8" t="s">
        <v>158</v>
      </c>
      <c r="T46" s="29" t="s">
        <v>144</v>
      </c>
      <c r="U46" s="24"/>
    </row>
    <row r="47">
      <c r="A47" s="30">
        <v>6.13008742409E11</v>
      </c>
      <c r="B47" s="20" t="s">
        <v>166</v>
      </c>
      <c r="C47" s="21">
        <v>0.08</v>
      </c>
      <c r="D47" s="21">
        <v>0.28</v>
      </c>
      <c r="E47" s="21">
        <v>0.08</v>
      </c>
      <c r="F47" s="22">
        <v>4.0</v>
      </c>
      <c r="G47" s="23"/>
      <c r="H47" s="24" t="s">
        <v>143</v>
      </c>
      <c r="I47" s="21" t="s">
        <v>144</v>
      </c>
      <c r="J47" s="24" t="s">
        <v>167</v>
      </c>
      <c r="K47" s="21" t="s">
        <v>168</v>
      </c>
      <c r="L47" s="25" t="s">
        <v>169</v>
      </c>
      <c r="M47" s="26" t="s">
        <v>28</v>
      </c>
      <c r="N47" s="24" t="s">
        <v>149</v>
      </c>
      <c r="O47" s="24" t="s">
        <v>163</v>
      </c>
      <c r="P47" s="27"/>
      <c r="Q47" s="27"/>
      <c r="R47" s="31" t="s">
        <v>170</v>
      </c>
      <c r="S47" s="33" t="s">
        <v>171</v>
      </c>
      <c r="T47" s="29" t="s">
        <v>144</v>
      </c>
      <c r="U47" s="24"/>
    </row>
    <row r="48">
      <c r="A48" s="30">
        <v>6.13008742348E11</v>
      </c>
      <c r="B48" s="20" t="s">
        <v>159</v>
      </c>
      <c r="C48" s="21">
        <v>0.08</v>
      </c>
      <c r="D48" s="21">
        <v>0.28</v>
      </c>
      <c r="E48" s="21">
        <v>0.08</v>
      </c>
      <c r="F48" s="22">
        <v>4.0</v>
      </c>
      <c r="G48" s="23"/>
      <c r="H48" s="24" t="s">
        <v>143</v>
      </c>
      <c r="I48" s="21" t="s">
        <v>144</v>
      </c>
      <c r="J48" s="24" t="s">
        <v>160</v>
      </c>
      <c r="K48" s="21" t="s">
        <v>161</v>
      </c>
      <c r="L48" s="25" t="s">
        <v>162</v>
      </c>
      <c r="M48" s="26" t="s">
        <v>28</v>
      </c>
      <c r="N48" s="24" t="s">
        <v>149</v>
      </c>
      <c r="O48" s="24" t="s">
        <v>163</v>
      </c>
      <c r="P48" s="27"/>
      <c r="Q48" s="27"/>
      <c r="R48" s="28" t="s">
        <v>164</v>
      </c>
      <c r="S48" s="8" t="s">
        <v>165</v>
      </c>
      <c r="T48" s="29" t="s">
        <v>144</v>
      </c>
      <c r="U48" s="24"/>
    </row>
    <row r="49">
      <c r="A49" s="30">
        <v>5.410228267508E12</v>
      </c>
      <c r="B49" s="20" t="s">
        <v>529</v>
      </c>
      <c r="C49" s="21">
        <v>0.055</v>
      </c>
      <c r="D49" s="21">
        <v>0.23</v>
      </c>
      <c r="E49" s="21">
        <v>0.055</v>
      </c>
      <c r="F49" s="22">
        <v>5.0</v>
      </c>
      <c r="G49" s="23"/>
      <c r="H49" s="24" t="s">
        <v>530</v>
      </c>
      <c r="I49" s="21" t="s">
        <v>531</v>
      </c>
      <c r="J49" s="24" t="s">
        <v>533</v>
      </c>
      <c r="K49" s="21" t="s">
        <v>534</v>
      </c>
      <c r="L49" s="25" t="s">
        <v>535</v>
      </c>
      <c r="M49" s="26" t="s">
        <v>28</v>
      </c>
      <c r="N49" s="24" t="s">
        <v>365</v>
      </c>
      <c r="O49" s="24" t="s">
        <v>536</v>
      </c>
      <c r="P49" s="27"/>
      <c r="Q49" s="27"/>
      <c r="R49" s="28" t="s">
        <v>537</v>
      </c>
      <c r="S49" s="8" t="s">
        <v>538</v>
      </c>
      <c r="T49" s="29" t="s">
        <v>531</v>
      </c>
      <c r="U49" s="24"/>
    </row>
    <row r="50">
      <c r="A50" s="30">
        <v>5.014379009972E12</v>
      </c>
      <c r="B50" s="20" t="s">
        <v>539</v>
      </c>
      <c r="C50" s="21">
        <v>0.055</v>
      </c>
      <c r="D50" s="21">
        <v>0.17</v>
      </c>
      <c r="E50" s="21">
        <v>0.055</v>
      </c>
      <c r="F50" s="22">
        <v>5.0</v>
      </c>
      <c r="G50" s="23"/>
      <c r="H50" s="24" t="s">
        <v>530</v>
      </c>
      <c r="I50" s="21" t="s">
        <v>531</v>
      </c>
      <c r="J50" s="24" t="s">
        <v>540</v>
      </c>
      <c r="K50" s="21" t="s">
        <v>541</v>
      </c>
      <c r="L50" s="25" t="s">
        <v>542</v>
      </c>
      <c r="M50" s="26" t="s">
        <v>28</v>
      </c>
      <c r="N50" s="24" t="s">
        <v>365</v>
      </c>
      <c r="O50" s="24" t="s">
        <v>543</v>
      </c>
      <c r="P50" s="27"/>
      <c r="Q50" s="27"/>
      <c r="R50" s="31" t="s">
        <v>544</v>
      </c>
      <c r="S50" s="33" t="s">
        <v>545</v>
      </c>
      <c r="T50" s="29" t="s">
        <v>546</v>
      </c>
      <c r="U50" s="24"/>
    </row>
    <row r="51">
      <c r="A51" s="30">
        <v>4.0111216E7</v>
      </c>
      <c r="B51" s="20" t="s">
        <v>495</v>
      </c>
      <c r="C51" s="21">
        <v>0.155</v>
      </c>
      <c r="D51" s="21">
        <v>0.04</v>
      </c>
      <c r="E51" s="21">
        <v>0.02</v>
      </c>
      <c r="F51" s="22">
        <v>15.0</v>
      </c>
      <c r="G51" s="23"/>
      <c r="H51" s="24" t="s">
        <v>496</v>
      </c>
      <c r="I51" s="21" t="s">
        <v>497</v>
      </c>
      <c r="J51" s="24" t="s">
        <v>498</v>
      </c>
      <c r="K51" s="21" t="s">
        <v>499</v>
      </c>
      <c r="L51" s="25" t="s">
        <v>500</v>
      </c>
      <c r="M51" s="26" t="s">
        <v>28</v>
      </c>
      <c r="N51" s="24" t="s">
        <v>501</v>
      </c>
      <c r="O51" s="24" t="s">
        <v>502</v>
      </c>
      <c r="P51" s="27"/>
      <c r="Q51" s="27"/>
      <c r="R51" s="31" t="s">
        <v>503</v>
      </c>
      <c r="S51" s="8" t="s">
        <v>504</v>
      </c>
      <c r="T51" s="29" t="s">
        <v>497</v>
      </c>
      <c r="U51" s="24"/>
    </row>
    <row r="52">
      <c r="A52" s="30">
        <v>7.290102035007E12</v>
      </c>
      <c r="B52" s="20" t="s">
        <v>303</v>
      </c>
      <c r="C52" s="21">
        <v>0.046</v>
      </c>
      <c r="D52" s="21">
        <v>0.076</v>
      </c>
      <c r="E52" s="21">
        <v>0.02</v>
      </c>
      <c r="F52" s="22">
        <v>15.0</v>
      </c>
      <c r="G52" s="23"/>
      <c r="H52" s="24" t="s">
        <v>304</v>
      </c>
      <c r="I52" s="21" t="s">
        <v>305</v>
      </c>
      <c r="J52" s="24" t="s">
        <v>306</v>
      </c>
      <c r="K52" s="21" t="s">
        <v>307</v>
      </c>
      <c r="L52" s="25" t="s">
        <v>308</v>
      </c>
      <c r="M52" s="26" t="s">
        <v>28</v>
      </c>
      <c r="N52" s="24" t="s">
        <v>309</v>
      </c>
      <c r="O52" s="24" t="s">
        <v>310</v>
      </c>
      <c r="P52" s="27"/>
      <c r="Q52" s="27"/>
      <c r="R52" s="28" t="s">
        <v>311</v>
      </c>
      <c r="S52" s="8" t="s">
        <v>312</v>
      </c>
      <c r="T52" s="29" t="s">
        <v>313</v>
      </c>
      <c r="U52" s="24"/>
    </row>
    <row r="53">
      <c r="A53" s="30">
        <v>6.02652258244E11</v>
      </c>
      <c r="B53" s="20" t="s">
        <v>314</v>
      </c>
      <c r="C53" s="21">
        <v>0.162</v>
      </c>
      <c r="D53" s="21">
        <v>0.05</v>
      </c>
      <c r="E53" s="21">
        <v>0.02</v>
      </c>
      <c r="F53" s="22">
        <v>15.0</v>
      </c>
      <c r="G53" s="23"/>
      <c r="H53" s="24" t="s">
        <v>315</v>
      </c>
      <c r="I53" s="21" t="s">
        <v>316</v>
      </c>
      <c r="J53" s="24" t="s">
        <v>317</v>
      </c>
      <c r="K53" s="21" t="s">
        <v>318</v>
      </c>
      <c r="L53" s="25" t="s">
        <v>319</v>
      </c>
      <c r="M53" s="26" t="s">
        <v>28</v>
      </c>
      <c r="N53" s="24" t="s">
        <v>320</v>
      </c>
      <c r="O53" s="24" t="s">
        <v>321</v>
      </c>
      <c r="P53" s="27"/>
      <c r="Q53" s="27"/>
      <c r="R53" s="28" t="s">
        <v>322</v>
      </c>
      <c r="S53" s="8" t="s">
        <v>323</v>
      </c>
      <c r="T53" s="29" t="s">
        <v>316</v>
      </c>
      <c r="U53" s="24"/>
    </row>
    <row r="54">
      <c r="A54" s="30">
        <v>5.00015952832E12</v>
      </c>
      <c r="B54" s="20" t="s">
        <v>314</v>
      </c>
      <c r="C54" s="21">
        <v>0.162</v>
      </c>
      <c r="D54" s="21">
        <v>0.05</v>
      </c>
      <c r="E54" s="21">
        <v>0.02</v>
      </c>
      <c r="F54" s="22">
        <v>15.0</v>
      </c>
      <c r="G54" s="23"/>
      <c r="H54" s="24" t="s">
        <v>315</v>
      </c>
      <c r="I54" s="21" t="s">
        <v>316</v>
      </c>
      <c r="J54" s="24" t="s">
        <v>317</v>
      </c>
      <c r="K54" s="21" t="s">
        <v>318</v>
      </c>
      <c r="L54" s="25" t="s">
        <v>324</v>
      </c>
      <c r="M54" s="26" t="s">
        <v>28</v>
      </c>
      <c r="N54" s="24" t="s">
        <v>320</v>
      </c>
      <c r="O54" s="24" t="s">
        <v>321</v>
      </c>
      <c r="P54" s="27"/>
      <c r="Q54" s="27"/>
      <c r="R54" s="28" t="s">
        <v>325</v>
      </c>
      <c r="S54" s="8" t="s">
        <v>326</v>
      </c>
      <c r="T54" s="29" t="s">
        <v>327</v>
      </c>
      <c r="U54" s="24"/>
    </row>
    <row r="55">
      <c r="A55" s="30">
        <v>6.02652257834E11</v>
      </c>
      <c r="B55" s="20" t="s">
        <v>328</v>
      </c>
      <c r="C55" s="21">
        <v>0.162</v>
      </c>
      <c r="D55" s="21">
        <v>0.05</v>
      </c>
      <c r="E55" s="21">
        <v>0.02</v>
      </c>
      <c r="F55" s="22">
        <v>15.0</v>
      </c>
      <c r="G55" s="23"/>
      <c r="H55" s="24" t="s">
        <v>315</v>
      </c>
      <c r="I55" s="21" t="s">
        <v>316</v>
      </c>
      <c r="J55" s="24" t="s">
        <v>329</v>
      </c>
      <c r="K55" s="21" t="s">
        <v>330</v>
      </c>
      <c r="L55" s="25" t="s">
        <v>331</v>
      </c>
      <c r="M55" s="26" t="s">
        <v>28</v>
      </c>
      <c r="N55" s="24" t="s">
        <v>320</v>
      </c>
      <c r="O55" s="24" t="s">
        <v>321</v>
      </c>
      <c r="P55" s="27"/>
      <c r="Q55" s="27"/>
      <c r="R55" s="28" t="s">
        <v>332</v>
      </c>
      <c r="S55" s="8" t="s">
        <v>333</v>
      </c>
      <c r="T55" s="29" t="s">
        <v>327</v>
      </c>
      <c r="U55" s="24"/>
    </row>
    <row r="56">
      <c r="A56" s="30">
        <v>7.290112966025E12</v>
      </c>
      <c r="B56" s="20" t="s">
        <v>3579</v>
      </c>
      <c r="C56" s="21">
        <v>0.12</v>
      </c>
      <c r="D56" s="21">
        <v>0.185</v>
      </c>
      <c r="E56" s="21">
        <v>0.05</v>
      </c>
      <c r="F56" s="22">
        <v>6.0</v>
      </c>
      <c r="G56" s="23"/>
      <c r="H56" s="24" t="s">
        <v>1413</v>
      </c>
      <c r="I56" s="21" t="s">
        <v>3552</v>
      </c>
      <c r="J56" s="24" t="s">
        <v>3580</v>
      </c>
      <c r="K56" s="21" t="s">
        <v>3581</v>
      </c>
      <c r="L56" s="25" t="s">
        <v>3582</v>
      </c>
      <c r="M56" s="26" t="s">
        <v>28</v>
      </c>
      <c r="N56" s="24" t="s">
        <v>1413</v>
      </c>
      <c r="O56" s="24" t="s">
        <v>3563</v>
      </c>
      <c r="P56" s="27"/>
      <c r="Q56" s="27"/>
      <c r="R56" s="28" t="s">
        <v>3583</v>
      </c>
      <c r="S56" s="8" t="s">
        <v>3582</v>
      </c>
      <c r="T56" s="29" t="s">
        <v>3558</v>
      </c>
      <c r="U56" s="21" t="s">
        <v>32</v>
      </c>
    </row>
    <row r="57">
      <c r="A57" s="30">
        <v>7.290000071008E12</v>
      </c>
      <c r="B57" s="20" t="s">
        <v>3559</v>
      </c>
      <c r="C57" s="21">
        <v>0.09999999</v>
      </c>
      <c r="D57" s="21">
        <v>0.19</v>
      </c>
      <c r="E57" s="21">
        <v>0.04</v>
      </c>
      <c r="F57" s="22">
        <v>8.0</v>
      </c>
      <c r="G57" s="23"/>
      <c r="H57" s="24" t="s">
        <v>1413</v>
      </c>
      <c r="I57" s="21" t="s">
        <v>3552</v>
      </c>
      <c r="J57" s="24" t="s">
        <v>3560</v>
      </c>
      <c r="K57" s="21" t="s">
        <v>3561</v>
      </c>
      <c r="L57" s="25" t="s">
        <v>3562</v>
      </c>
      <c r="M57" s="26" t="s">
        <v>37</v>
      </c>
      <c r="N57" s="24" t="s">
        <v>1413</v>
      </c>
      <c r="O57" s="24" t="s">
        <v>3563</v>
      </c>
      <c r="P57" s="27"/>
      <c r="Q57" s="27"/>
      <c r="R57" s="28" t="s">
        <v>3564</v>
      </c>
      <c r="S57" s="8" t="s">
        <v>3565</v>
      </c>
      <c r="T57" s="29" t="e">
        <v>#N/A</v>
      </c>
      <c r="U57" s="21" t="s">
        <v>32</v>
      </c>
    </row>
    <row r="58">
      <c r="A58" s="30">
        <v>7.290000076126E12</v>
      </c>
      <c r="B58" s="20" t="s">
        <v>3573</v>
      </c>
      <c r="C58" s="21">
        <v>0.115</v>
      </c>
      <c r="D58" s="21">
        <v>0.195</v>
      </c>
      <c r="E58" s="21">
        <v>0.03</v>
      </c>
      <c r="F58" s="22">
        <v>10.0</v>
      </c>
      <c r="G58" s="23"/>
      <c r="H58" s="24" t="s">
        <v>1413</v>
      </c>
      <c r="I58" s="21" t="s">
        <v>3552</v>
      </c>
      <c r="J58" s="24" t="s">
        <v>3574</v>
      </c>
      <c r="K58" s="21" t="s">
        <v>3575</v>
      </c>
      <c r="L58" s="25" t="s">
        <v>3576</v>
      </c>
      <c r="M58" s="26" t="s">
        <v>37</v>
      </c>
      <c r="N58" s="24" t="s">
        <v>1413</v>
      </c>
      <c r="O58" s="24" t="s">
        <v>3563</v>
      </c>
      <c r="P58" s="27"/>
      <c r="Q58" s="27"/>
      <c r="R58" s="28" t="s">
        <v>3577</v>
      </c>
      <c r="S58" s="8" t="s">
        <v>3578</v>
      </c>
      <c r="T58" s="29" t="e">
        <v>#N/A</v>
      </c>
      <c r="U58" s="21" t="s">
        <v>32</v>
      </c>
    </row>
    <row r="59">
      <c r="A59" s="30">
        <v>7.290000076133E12</v>
      </c>
      <c r="B59" s="20" t="s">
        <v>3566</v>
      </c>
      <c r="C59" s="21">
        <v>0.15</v>
      </c>
      <c r="D59" s="21">
        <v>0.23</v>
      </c>
      <c r="E59" s="21">
        <v>0.085</v>
      </c>
      <c r="F59" s="22">
        <v>4.0</v>
      </c>
      <c r="G59" s="23"/>
      <c r="H59" s="24" t="s">
        <v>1413</v>
      </c>
      <c r="I59" s="21" t="s">
        <v>3552</v>
      </c>
      <c r="J59" s="24" t="s">
        <v>3567</v>
      </c>
      <c r="K59" s="21" t="s">
        <v>3568</v>
      </c>
      <c r="L59" s="25" t="s">
        <v>3569</v>
      </c>
      <c r="M59" s="26" t="s">
        <v>37</v>
      </c>
      <c r="N59" s="24" t="s">
        <v>1413</v>
      </c>
      <c r="O59" s="24" t="s">
        <v>3570</v>
      </c>
      <c r="P59" s="27"/>
      <c r="Q59" s="27"/>
      <c r="R59" s="28" t="s">
        <v>3571</v>
      </c>
      <c r="S59" s="8" t="s">
        <v>3572</v>
      </c>
      <c r="T59" s="29" t="e">
        <v>#N/A</v>
      </c>
      <c r="U59" s="21" t="s">
        <v>32</v>
      </c>
    </row>
    <row r="60">
      <c r="A60" s="30">
        <v>7.290106574977E12</v>
      </c>
      <c r="B60" s="20" t="s">
        <v>3551</v>
      </c>
      <c r="C60" s="21">
        <v>0.15</v>
      </c>
      <c r="D60" s="21">
        <v>0.23</v>
      </c>
      <c r="E60" s="21">
        <v>0.08</v>
      </c>
      <c r="F60" s="22">
        <v>4.0</v>
      </c>
      <c r="G60" s="23"/>
      <c r="H60" s="24" t="s">
        <v>1413</v>
      </c>
      <c r="I60" s="21" t="s">
        <v>3552</v>
      </c>
      <c r="J60" s="24" t="s">
        <v>3553</v>
      </c>
      <c r="K60" s="21" t="s">
        <v>3554</v>
      </c>
      <c r="L60" s="25" t="s">
        <v>3555</v>
      </c>
      <c r="M60" s="26" t="s">
        <v>28</v>
      </c>
      <c r="N60" s="24" t="s">
        <v>1413</v>
      </c>
      <c r="O60" s="24" t="s">
        <v>3556</v>
      </c>
      <c r="P60" s="27"/>
      <c r="Q60" s="27"/>
      <c r="R60" s="28" t="s">
        <v>3557</v>
      </c>
      <c r="S60" s="8" t="s">
        <v>3555</v>
      </c>
      <c r="T60" s="29" t="s">
        <v>3558</v>
      </c>
      <c r="U60" s="21" t="s">
        <v>32</v>
      </c>
    </row>
    <row r="61">
      <c r="A61" s="30">
        <v>7.290112358752E12</v>
      </c>
      <c r="B61" s="20" t="s">
        <v>5167</v>
      </c>
      <c r="C61" s="21">
        <v>0.05</v>
      </c>
      <c r="D61" s="21">
        <v>0.135</v>
      </c>
      <c r="E61" s="21">
        <v>0.05</v>
      </c>
      <c r="F61" s="22">
        <v>6.0</v>
      </c>
      <c r="G61" s="23"/>
      <c r="H61" s="24" t="s">
        <v>335</v>
      </c>
      <c r="I61" s="21" t="s">
        <v>5168</v>
      </c>
      <c r="J61" s="24" t="s">
        <v>337</v>
      </c>
      <c r="K61" s="21" t="s">
        <v>338</v>
      </c>
      <c r="L61" s="25" t="s">
        <v>339</v>
      </c>
      <c r="M61" s="26" t="s">
        <v>37</v>
      </c>
      <c r="N61" s="24" t="s">
        <v>340</v>
      </c>
      <c r="O61" s="24" t="s">
        <v>341</v>
      </c>
      <c r="P61" s="27"/>
      <c r="Q61" s="27"/>
      <c r="R61" s="31" t="s">
        <v>342</v>
      </c>
      <c r="S61" s="8" t="s">
        <v>343</v>
      </c>
      <c r="T61" s="29" t="e">
        <v>#N/A</v>
      </c>
      <c r="U61" s="24"/>
    </row>
    <row r="62">
      <c r="A62" s="30">
        <v>7.290112347718E12</v>
      </c>
      <c r="B62" s="20" t="s">
        <v>5169</v>
      </c>
      <c r="C62" s="21">
        <v>0.05</v>
      </c>
      <c r="D62" s="21">
        <v>0.135</v>
      </c>
      <c r="E62" s="21">
        <v>0.05</v>
      </c>
      <c r="F62" s="22">
        <v>6.0</v>
      </c>
      <c r="G62" s="23"/>
      <c r="H62" s="24" t="s">
        <v>335</v>
      </c>
      <c r="I62" s="21" t="s">
        <v>5168</v>
      </c>
      <c r="J62" s="24" t="s">
        <v>346</v>
      </c>
      <c r="K62" s="21" t="s">
        <v>347</v>
      </c>
      <c r="L62" s="25" t="s">
        <v>348</v>
      </c>
      <c r="M62" s="26" t="s">
        <v>37</v>
      </c>
      <c r="N62" s="24" t="s">
        <v>340</v>
      </c>
      <c r="O62" s="24" t="s">
        <v>341</v>
      </c>
      <c r="P62" s="27"/>
      <c r="Q62" s="27"/>
      <c r="R62" s="31" t="s">
        <v>349</v>
      </c>
      <c r="S62" s="33" t="s">
        <v>350</v>
      </c>
      <c r="T62" s="29" t="e">
        <v>#N/A</v>
      </c>
      <c r="U62" s="24"/>
    </row>
    <row r="63">
      <c r="A63" s="30">
        <v>7.290112347725E12</v>
      </c>
      <c r="B63" s="20" t="s">
        <v>5170</v>
      </c>
      <c r="C63" s="21">
        <v>0.05</v>
      </c>
      <c r="D63" s="21">
        <v>0.135</v>
      </c>
      <c r="E63" s="21">
        <v>0.05</v>
      </c>
      <c r="F63" s="22">
        <v>6.0</v>
      </c>
      <c r="G63" s="23"/>
      <c r="H63" s="24" t="s">
        <v>335</v>
      </c>
      <c r="I63" s="21" t="s">
        <v>5168</v>
      </c>
      <c r="J63" s="24" t="s">
        <v>353</v>
      </c>
      <c r="K63" s="21" t="s">
        <v>354</v>
      </c>
      <c r="L63" s="25" t="s">
        <v>355</v>
      </c>
      <c r="M63" s="26" t="s">
        <v>37</v>
      </c>
      <c r="N63" s="24" t="s">
        <v>340</v>
      </c>
      <c r="O63" s="24" t="s">
        <v>341</v>
      </c>
      <c r="P63" s="27"/>
      <c r="Q63" s="27"/>
      <c r="R63" s="28" t="s">
        <v>356</v>
      </c>
      <c r="S63" s="33" t="s">
        <v>357</v>
      </c>
      <c r="T63" s="29" t="e">
        <v>#N/A</v>
      </c>
      <c r="U63" s="24"/>
    </row>
    <row r="64">
      <c r="A64" s="30">
        <v>7.290111564956E12</v>
      </c>
      <c r="B64" s="20" t="s">
        <v>369</v>
      </c>
      <c r="C64" s="21">
        <v>0.19</v>
      </c>
      <c r="D64" s="21">
        <v>0.25</v>
      </c>
      <c r="E64" s="21">
        <v>0.07</v>
      </c>
      <c r="F64" s="22">
        <v>4.0</v>
      </c>
      <c r="G64" s="23"/>
      <c r="H64" s="24" t="s">
        <v>370</v>
      </c>
      <c r="I64" s="21" t="s">
        <v>371</v>
      </c>
      <c r="J64" s="24" t="s">
        <v>372</v>
      </c>
      <c r="K64" s="21" t="s">
        <v>5171</v>
      </c>
      <c r="L64" s="25" t="s">
        <v>374</v>
      </c>
      <c r="M64" s="26" t="s">
        <v>28</v>
      </c>
      <c r="N64" s="24" t="s">
        <v>109</v>
      </c>
      <c r="O64" s="24" t="s">
        <v>250</v>
      </c>
      <c r="P64" s="27"/>
      <c r="Q64" s="27"/>
      <c r="R64" s="28" t="s">
        <v>375</v>
      </c>
      <c r="S64" s="8" t="s">
        <v>374</v>
      </c>
      <c r="T64" s="29" t="s">
        <v>371</v>
      </c>
      <c r="U64" s="21" t="s">
        <v>113</v>
      </c>
    </row>
    <row r="65">
      <c r="A65" s="30">
        <v>7.290000066202E12</v>
      </c>
      <c r="B65" s="20" t="s">
        <v>413</v>
      </c>
      <c r="C65" s="21">
        <v>0.14</v>
      </c>
      <c r="D65" s="21">
        <v>0.26</v>
      </c>
      <c r="E65" s="21">
        <v>0.08</v>
      </c>
      <c r="F65" s="22">
        <v>4.0</v>
      </c>
      <c r="G65" s="23"/>
      <c r="H65" s="24" t="s">
        <v>370</v>
      </c>
      <c r="I65" s="21" t="s">
        <v>371</v>
      </c>
      <c r="J65" s="24" t="s">
        <v>414</v>
      </c>
      <c r="K65" s="21" t="s">
        <v>5172</v>
      </c>
      <c r="L65" s="25" t="s">
        <v>416</v>
      </c>
      <c r="M65" s="26" t="s">
        <v>37</v>
      </c>
      <c r="N65" s="24" t="s">
        <v>109</v>
      </c>
      <c r="O65" s="24" t="s">
        <v>380</v>
      </c>
      <c r="P65" s="27"/>
      <c r="Q65" s="27"/>
      <c r="R65" s="28" t="s">
        <v>417</v>
      </c>
      <c r="S65" s="8" t="s">
        <v>418</v>
      </c>
      <c r="T65" s="29" t="e">
        <v>#N/A</v>
      </c>
      <c r="U65" s="21" t="s">
        <v>113</v>
      </c>
    </row>
    <row r="66">
      <c r="A66" s="30">
        <v>7.290000066158E12</v>
      </c>
      <c r="B66" s="20" t="s">
        <v>419</v>
      </c>
      <c r="C66" s="21">
        <v>0.102</v>
      </c>
      <c r="D66" s="21">
        <v>0.175</v>
      </c>
      <c r="E66" s="21">
        <v>0.03</v>
      </c>
      <c r="F66" s="22">
        <v>10.0</v>
      </c>
      <c r="G66" s="23"/>
      <c r="H66" s="24" t="s">
        <v>370</v>
      </c>
      <c r="I66" s="21" t="s">
        <v>371</v>
      </c>
      <c r="J66" s="24" t="s">
        <v>420</v>
      </c>
      <c r="K66" s="21" t="s">
        <v>5173</v>
      </c>
      <c r="L66" s="25" t="s">
        <v>422</v>
      </c>
      <c r="M66" s="26" t="s">
        <v>37</v>
      </c>
      <c r="N66" s="24" t="s">
        <v>109</v>
      </c>
      <c r="O66" s="24" t="s">
        <v>380</v>
      </c>
      <c r="P66" s="27"/>
      <c r="Q66" s="27"/>
      <c r="R66" s="28" t="s">
        <v>423</v>
      </c>
      <c r="S66" s="8" t="s">
        <v>424</v>
      </c>
      <c r="T66" s="29" t="e">
        <v>#N/A</v>
      </c>
      <c r="U66" s="21" t="s">
        <v>113</v>
      </c>
    </row>
    <row r="67">
      <c r="A67" s="30">
        <v>7.290000066219E12</v>
      </c>
      <c r="B67" s="20" t="s">
        <v>376</v>
      </c>
      <c r="C67" s="21">
        <v>0.14</v>
      </c>
      <c r="D67" s="21">
        <v>0.26</v>
      </c>
      <c r="E67" s="21">
        <v>0.08</v>
      </c>
      <c r="F67" s="22">
        <v>4.0</v>
      </c>
      <c r="G67" s="23"/>
      <c r="H67" s="24" t="s">
        <v>370</v>
      </c>
      <c r="I67" s="21" t="s">
        <v>371</v>
      </c>
      <c r="J67" s="24" t="s">
        <v>377</v>
      </c>
      <c r="K67" s="21" t="s">
        <v>5174</v>
      </c>
      <c r="L67" s="25" t="s">
        <v>379</v>
      </c>
      <c r="M67" s="26" t="s">
        <v>37</v>
      </c>
      <c r="N67" s="24" t="s">
        <v>109</v>
      </c>
      <c r="O67" s="24" t="s">
        <v>380</v>
      </c>
      <c r="P67" s="27"/>
      <c r="Q67" s="27"/>
      <c r="R67" s="28" t="s">
        <v>381</v>
      </c>
      <c r="S67" s="8" t="s">
        <v>382</v>
      </c>
      <c r="T67" s="29" t="e">
        <v>#N/A</v>
      </c>
      <c r="U67" s="21" t="s">
        <v>113</v>
      </c>
    </row>
    <row r="68">
      <c r="A68" s="30">
        <v>7.290000066165E12</v>
      </c>
      <c r="B68" s="20" t="s">
        <v>383</v>
      </c>
      <c r="C68" s="21">
        <v>0.102</v>
      </c>
      <c r="D68" s="21">
        <v>0.175</v>
      </c>
      <c r="E68" s="21">
        <v>0.03</v>
      </c>
      <c r="F68" s="22">
        <v>10.0</v>
      </c>
      <c r="G68" s="23"/>
      <c r="H68" s="24" t="s">
        <v>370</v>
      </c>
      <c r="I68" s="21" t="s">
        <v>371</v>
      </c>
      <c r="J68" s="24" t="s">
        <v>384</v>
      </c>
      <c r="K68" s="21" t="s">
        <v>5175</v>
      </c>
      <c r="L68" s="25" t="s">
        <v>386</v>
      </c>
      <c r="M68" s="26" t="s">
        <v>37</v>
      </c>
      <c r="N68" s="24" t="s">
        <v>109</v>
      </c>
      <c r="O68" s="24" t="s">
        <v>380</v>
      </c>
      <c r="P68" s="27"/>
      <c r="Q68" s="27"/>
      <c r="R68" s="28" t="s">
        <v>387</v>
      </c>
      <c r="S68" s="37" t="s">
        <v>388</v>
      </c>
      <c r="T68" s="29" t="e">
        <v>#N/A</v>
      </c>
      <c r="U68" s="21" t="s">
        <v>113</v>
      </c>
    </row>
    <row r="69">
      <c r="A69" s="30">
        <v>7.290000066196E12</v>
      </c>
      <c r="B69" s="20" t="s">
        <v>401</v>
      </c>
      <c r="C69" s="21">
        <v>0.14</v>
      </c>
      <c r="D69" s="21">
        <v>0.26</v>
      </c>
      <c r="E69" s="21">
        <v>0.07</v>
      </c>
      <c r="F69" s="22">
        <v>4.0</v>
      </c>
      <c r="G69" s="23"/>
      <c r="H69" s="24" t="s">
        <v>370</v>
      </c>
      <c r="I69" s="21" t="s">
        <v>371</v>
      </c>
      <c r="J69" s="24" t="s">
        <v>402</v>
      </c>
      <c r="K69" s="21" t="s">
        <v>5176</v>
      </c>
      <c r="L69" s="25" t="s">
        <v>404</v>
      </c>
      <c r="M69" s="26" t="s">
        <v>37</v>
      </c>
      <c r="N69" s="24" t="s">
        <v>109</v>
      </c>
      <c r="O69" s="24" t="s">
        <v>380</v>
      </c>
      <c r="P69" s="27"/>
      <c r="Q69" s="27"/>
      <c r="R69" s="28" t="s">
        <v>405</v>
      </c>
      <c r="S69" s="33" t="s">
        <v>406</v>
      </c>
      <c r="T69" s="29" t="e">
        <v>#N/A</v>
      </c>
      <c r="U69" s="21" t="s">
        <v>113</v>
      </c>
    </row>
    <row r="70">
      <c r="A70" s="30">
        <v>7.290000066141E12</v>
      </c>
      <c r="B70" s="20" t="s">
        <v>407</v>
      </c>
      <c r="C70" s="21">
        <v>0.102</v>
      </c>
      <c r="D70" s="21">
        <v>0.175</v>
      </c>
      <c r="E70" s="21">
        <v>0.03</v>
      </c>
      <c r="F70" s="22">
        <v>10.0</v>
      </c>
      <c r="G70" s="23"/>
      <c r="H70" s="24" t="s">
        <v>370</v>
      </c>
      <c r="I70" s="21" t="s">
        <v>371</v>
      </c>
      <c r="J70" s="24" t="s">
        <v>408</v>
      </c>
      <c r="K70" s="21" t="s">
        <v>5177</v>
      </c>
      <c r="L70" s="25" t="s">
        <v>410</v>
      </c>
      <c r="M70" s="26" t="s">
        <v>37</v>
      </c>
      <c r="N70" s="24" t="s">
        <v>109</v>
      </c>
      <c r="O70" s="24" t="s">
        <v>380</v>
      </c>
      <c r="P70" s="27"/>
      <c r="Q70" s="27"/>
      <c r="R70" s="28" t="s">
        <v>411</v>
      </c>
      <c r="S70" s="8" t="s">
        <v>412</v>
      </c>
      <c r="T70" s="29" t="e">
        <v>#N/A</v>
      </c>
      <c r="U70" s="21" t="s">
        <v>113</v>
      </c>
    </row>
    <row r="71">
      <c r="A71" s="30">
        <v>7.290111568206E12</v>
      </c>
      <c r="B71" s="20" t="s">
        <v>425</v>
      </c>
      <c r="C71" s="21">
        <v>0.128</v>
      </c>
      <c r="D71" s="21">
        <v>0.23</v>
      </c>
      <c r="E71" s="21">
        <v>0.056</v>
      </c>
      <c r="F71" s="22">
        <v>5.0</v>
      </c>
      <c r="G71" s="23"/>
      <c r="H71" s="24" t="s">
        <v>370</v>
      </c>
      <c r="I71" s="21" t="s">
        <v>371</v>
      </c>
      <c r="J71" s="24" t="s">
        <v>426</v>
      </c>
      <c r="K71" s="21" t="s">
        <v>5178</v>
      </c>
      <c r="L71" s="25" t="s">
        <v>428</v>
      </c>
      <c r="M71" s="26" t="s">
        <v>28</v>
      </c>
      <c r="N71" s="24" t="s">
        <v>109</v>
      </c>
      <c r="O71" s="24" t="s">
        <v>380</v>
      </c>
      <c r="P71" s="27"/>
      <c r="Q71" s="27"/>
      <c r="R71" s="28" t="s">
        <v>429</v>
      </c>
      <c r="S71" s="33" t="s">
        <v>428</v>
      </c>
      <c r="T71" s="29" t="s">
        <v>371</v>
      </c>
      <c r="U71" s="21" t="s">
        <v>113</v>
      </c>
    </row>
    <row r="72">
      <c r="A72" s="30">
        <v>7.290000066226E12</v>
      </c>
      <c r="B72" s="20" t="s">
        <v>430</v>
      </c>
      <c r="C72" s="21">
        <v>0.14</v>
      </c>
      <c r="D72" s="21">
        <v>0.26</v>
      </c>
      <c r="E72" s="21">
        <v>0.03</v>
      </c>
      <c r="F72" s="22">
        <v>10.0</v>
      </c>
      <c r="G72" s="23"/>
      <c r="H72" s="24" t="s">
        <v>370</v>
      </c>
      <c r="I72" s="21" t="s">
        <v>371</v>
      </c>
      <c r="J72" s="24" t="s">
        <v>431</v>
      </c>
      <c r="K72" s="21" t="s">
        <v>5179</v>
      </c>
      <c r="L72" s="25" t="s">
        <v>433</v>
      </c>
      <c r="M72" s="26" t="s">
        <v>37</v>
      </c>
      <c r="N72" s="24" t="s">
        <v>109</v>
      </c>
      <c r="O72" s="24" t="s">
        <v>380</v>
      </c>
      <c r="P72" s="27"/>
      <c r="Q72" s="27"/>
      <c r="R72" s="28" t="s">
        <v>434</v>
      </c>
      <c r="S72" s="33" t="s">
        <v>435</v>
      </c>
      <c r="T72" s="29" t="e">
        <v>#N/A</v>
      </c>
      <c r="U72" s="21" t="s">
        <v>113</v>
      </c>
    </row>
    <row r="73">
      <c r="A73" s="30">
        <v>7.290000066172E12</v>
      </c>
      <c r="B73" s="20" t="s">
        <v>436</v>
      </c>
      <c r="C73" s="21">
        <v>0.102</v>
      </c>
      <c r="D73" s="21">
        <v>0.175</v>
      </c>
      <c r="E73" s="21">
        <v>0.03</v>
      </c>
      <c r="F73" s="22">
        <v>10.0</v>
      </c>
      <c r="G73" s="23"/>
      <c r="H73" s="24" t="s">
        <v>370</v>
      </c>
      <c r="I73" s="21" t="s">
        <v>371</v>
      </c>
      <c r="J73" s="24" t="s">
        <v>437</v>
      </c>
      <c r="K73" s="21" t="s">
        <v>5180</v>
      </c>
      <c r="L73" s="25" t="s">
        <v>439</v>
      </c>
      <c r="M73" s="26" t="s">
        <v>37</v>
      </c>
      <c r="N73" s="24" t="s">
        <v>109</v>
      </c>
      <c r="O73" s="24" t="s">
        <v>380</v>
      </c>
      <c r="P73" s="27"/>
      <c r="Q73" s="27"/>
      <c r="R73" s="28" t="s">
        <v>440</v>
      </c>
      <c r="S73" s="33" t="s">
        <v>441</v>
      </c>
      <c r="T73" s="29" t="e">
        <v>#N/A</v>
      </c>
      <c r="U73" s="21" t="s">
        <v>113</v>
      </c>
    </row>
    <row r="74">
      <c r="A74" s="30">
        <v>7.290000066189E12</v>
      </c>
      <c r="B74" s="20" t="s">
        <v>389</v>
      </c>
      <c r="C74" s="21">
        <v>0.14</v>
      </c>
      <c r="D74" s="21">
        <v>0.26</v>
      </c>
      <c r="E74" s="21">
        <v>0.02</v>
      </c>
      <c r="F74" s="22">
        <v>15.0</v>
      </c>
      <c r="G74" s="23"/>
      <c r="H74" s="24" t="s">
        <v>370</v>
      </c>
      <c r="I74" s="21" t="s">
        <v>371</v>
      </c>
      <c r="J74" s="24" t="s">
        <v>390</v>
      </c>
      <c r="K74" s="21" t="s">
        <v>5181</v>
      </c>
      <c r="L74" s="25" t="s">
        <v>392</v>
      </c>
      <c r="M74" s="26" t="s">
        <v>37</v>
      </c>
      <c r="N74" s="24" t="s">
        <v>109</v>
      </c>
      <c r="O74" s="24" t="s">
        <v>380</v>
      </c>
      <c r="P74" s="27"/>
      <c r="Q74" s="27"/>
      <c r="R74" s="28" t="s">
        <v>393</v>
      </c>
      <c r="S74" s="8" t="s">
        <v>394</v>
      </c>
      <c r="T74" s="29" t="e">
        <v>#N/A</v>
      </c>
      <c r="U74" s="21" t="s">
        <v>113</v>
      </c>
    </row>
    <row r="75">
      <c r="A75" s="30">
        <v>7.290000066134E12</v>
      </c>
      <c r="B75" s="20" t="s">
        <v>395</v>
      </c>
      <c r="C75" s="21">
        <v>0.102</v>
      </c>
      <c r="D75" s="21">
        <v>0.175</v>
      </c>
      <c r="E75" s="21">
        <v>0.03</v>
      </c>
      <c r="F75" s="22">
        <v>10.0</v>
      </c>
      <c r="G75" s="23"/>
      <c r="H75" s="24" t="s">
        <v>370</v>
      </c>
      <c r="I75" s="21" t="s">
        <v>371</v>
      </c>
      <c r="J75" s="24" t="s">
        <v>396</v>
      </c>
      <c r="K75" s="21" t="s">
        <v>5182</v>
      </c>
      <c r="L75" s="25" t="s">
        <v>398</v>
      </c>
      <c r="M75" s="26" t="s">
        <v>37</v>
      </c>
      <c r="N75" s="24" t="s">
        <v>109</v>
      </c>
      <c r="O75" s="24" t="s">
        <v>380</v>
      </c>
      <c r="P75" s="27"/>
      <c r="Q75" s="27"/>
      <c r="R75" s="31" t="s">
        <v>399</v>
      </c>
      <c r="S75" s="8" t="s">
        <v>400</v>
      </c>
      <c r="T75" s="29" t="e">
        <v>#N/A</v>
      </c>
      <c r="U75" s="21" t="s">
        <v>113</v>
      </c>
    </row>
    <row r="76">
      <c r="A76" s="30">
        <v>5.904941751524E12</v>
      </c>
      <c r="B76" s="20" t="s">
        <v>476</v>
      </c>
      <c r="C76" s="21">
        <v>0.053</v>
      </c>
      <c r="D76" s="21">
        <v>0.134</v>
      </c>
      <c r="E76" s="21">
        <v>0.053</v>
      </c>
      <c r="F76" s="22">
        <v>6.0</v>
      </c>
      <c r="G76" s="23"/>
      <c r="H76" s="24" t="s">
        <v>443</v>
      </c>
      <c r="I76" s="21" t="s">
        <v>444</v>
      </c>
      <c r="J76" s="24" t="s">
        <v>477</v>
      </c>
      <c r="K76" s="21" t="s">
        <v>478</v>
      </c>
      <c r="L76" s="25" t="s">
        <v>479</v>
      </c>
      <c r="M76" s="26" t="s">
        <v>28</v>
      </c>
      <c r="N76" s="24" t="s">
        <v>340</v>
      </c>
      <c r="O76" s="24" t="s">
        <v>449</v>
      </c>
      <c r="P76" s="27"/>
      <c r="Q76" s="27"/>
      <c r="R76" s="28" t="s">
        <v>480</v>
      </c>
      <c r="S76" s="8" t="s">
        <v>481</v>
      </c>
      <c r="T76" s="29" t="s">
        <v>444</v>
      </c>
      <c r="U76" s="24"/>
    </row>
    <row r="77">
      <c r="A77" s="30">
        <v>5.90494175192E12</v>
      </c>
      <c r="B77" s="20" t="s">
        <v>442</v>
      </c>
      <c r="C77" s="21">
        <v>0.053</v>
      </c>
      <c r="D77" s="21">
        <v>0.134</v>
      </c>
      <c r="E77" s="21">
        <v>0.053</v>
      </c>
      <c r="F77" s="22">
        <v>6.0</v>
      </c>
      <c r="G77" s="23"/>
      <c r="H77" s="24" t="s">
        <v>443</v>
      </c>
      <c r="I77" s="21" t="s">
        <v>444</v>
      </c>
      <c r="J77" s="24" t="s">
        <v>446</v>
      </c>
      <c r="K77" s="21" t="s">
        <v>447</v>
      </c>
      <c r="L77" s="25" t="s">
        <v>448</v>
      </c>
      <c r="M77" s="26" t="s">
        <v>28</v>
      </c>
      <c r="N77" s="24" t="s">
        <v>340</v>
      </c>
      <c r="O77" s="24" t="s">
        <v>449</v>
      </c>
      <c r="P77" s="27"/>
      <c r="Q77" s="27"/>
      <c r="R77" s="31" t="s">
        <v>450</v>
      </c>
      <c r="S77" s="33" t="s">
        <v>451</v>
      </c>
      <c r="T77" s="29" t="s">
        <v>444</v>
      </c>
      <c r="U77" s="24"/>
    </row>
    <row r="78">
      <c r="A78" s="30">
        <v>5.904941750312E12</v>
      </c>
      <c r="B78" s="20" t="s">
        <v>470</v>
      </c>
      <c r="C78" s="21">
        <v>0.053</v>
      </c>
      <c r="D78" s="21">
        <v>0.134</v>
      </c>
      <c r="E78" s="21">
        <v>0.053</v>
      </c>
      <c r="F78" s="22">
        <v>6.0</v>
      </c>
      <c r="G78" s="23"/>
      <c r="H78" s="24" t="s">
        <v>443</v>
      </c>
      <c r="I78" s="21" t="s">
        <v>444</v>
      </c>
      <c r="J78" s="24" t="s">
        <v>471</v>
      </c>
      <c r="K78" s="21" t="s">
        <v>472</v>
      </c>
      <c r="L78" s="25" t="s">
        <v>473</v>
      </c>
      <c r="M78" s="26" t="s">
        <v>28</v>
      </c>
      <c r="N78" s="24" t="s">
        <v>340</v>
      </c>
      <c r="O78" s="24" t="s">
        <v>449</v>
      </c>
      <c r="P78" s="27"/>
      <c r="Q78" s="27"/>
      <c r="R78" s="28" t="s">
        <v>474</v>
      </c>
      <c r="S78" s="33" t="s">
        <v>475</v>
      </c>
      <c r="T78" s="29" t="s">
        <v>444</v>
      </c>
      <c r="U78" s="24"/>
    </row>
    <row r="79">
      <c r="A79" s="30">
        <v>5.904941751302E12</v>
      </c>
      <c r="B79" s="20" t="s">
        <v>458</v>
      </c>
      <c r="C79" s="21">
        <v>0.053</v>
      </c>
      <c r="D79" s="21">
        <v>0.134</v>
      </c>
      <c r="E79" s="21">
        <v>0.053</v>
      </c>
      <c r="F79" s="22">
        <v>6.0</v>
      </c>
      <c r="G79" s="23"/>
      <c r="H79" s="24" t="s">
        <v>443</v>
      </c>
      <c r="I79" s="21" t="s">
        <v>444</v>
      </c>
      <c r="J79" s="24" t="s">
        <v>459</v>
      </c>
      <c r="K79" s="21" t="s">
        <v>460</v>
      </c>
      <c r="L79" s="25" t="s">
        <v>461</v>
      </c>
      <c r="M79" s="26" t="s">
        <v>28</v>
      </c>
      <c r="N79" s="24" t="s">
        <v>340</v>
      </c>
      <c r="O79" s="24" t="s">
        <v>449</v>
      </c>
      <c r="P79" s="27"/>
      <c r="Q79" s="27"/>
      <c r="R79" s="28" t="s">
        <v>462</v>
      </c>
      <c r="S79" s="8" t="s">
        <v>463</v>
      </c>
      <c r="T79" s="29" t="s">
        <v>444</v>
      </c>
      <c r="U79" s="24"/>
    </row>
    <row r="80">
      <c r="A80" s="30">
        <v>7.53182231761E11</v>
      </c>
      <c r="B80" s="20" t="s">
        <v>489</v>
      </c>
      <c r="C80" s="21">
        <v>0.053</v>
      </c>
      <c r="D80" s="21">
        <v>0.134</v>
      </c>
      <c r="E80" s="21">
        <v>0.053</v>
      </c>
      <c r="F80" s="22">
        <v>6.0</v>
      </c>
      <c r="G80" s="23"/>
      <c r="H80" s="24" t="s">
        <v>443</v>
      </c>
      <c r="I80" s="21" t="s">
        <v>444</v>
      </c>
      <c r="J80" s="24" t="s">
        <v>490</v>
      </c>
      <c r="K80" s="21" t="s">
        <v>491</v>
      </c>
      <c r="L80" s="25" t="s">
        <v>492</v>
      </c>
      <c r="M80" s="26" t="s">
        <v>28</v>
      </c>
      <c r="N80" s="24" t="s">
        <v>340</v>
      </c>
      <c r="O80" s="24" t="s">
        <v>449</v>
      </c>
      <c r="P80" s="27"/>
      <c r="Q80" s="27"/>
      <c r="R80" s="28" t="s">
        <v>493</v>
      </c>
      <c r="S80" s="33" t="s">
        <v>494</v>
      </c>
      <c r="T80" s="29" t="s">
        <v>444</v>
      </c>
      <c r="U80" s="24"/>
    </row>
    <row r="81">
      <c r="A81" s="30">
        <v>5.904941752262E12</v>
      </c>
      <c r="B81" s="20" t="s">
        <v>464</v>
      </c>
      <c r="C81" s="21">
        <v>0.053</v>
      </c>
      <c r="D81" s="21">
        <v>0.134</v>
      </c>
      <c r="E81" s="21">
        <v>0.053</v>
      </c>
      <c r="F81" s="22">
        <v>6.0</v>
      </c>
      <c r="G81" s="23"/>
      <c r="H81" s="24" t="s">
        <v>443</v>
      </c>
      <c r="I81" s="21" t="s">
        <v>444</v>
      </c>
      <c r="J81" s="24" t="s">
        <v>465</v>
      </c>
      <c r="K81" s="21" t="s">
        <v>466</v>
      </c>
      <c r="L81" s="25" t="s">
        <v>467</v>
      </c>
      <c r="M81" s="26" t="s">
        <v>28</v>
      </c>
      <c r="N81" s="24" t="s">
        <v>340</v>
      </c>
      <c r="O81" s="24" t="s">
        <v>449</v>
      </c>
      <c r="P81" s="27"/>
      <c r="Q81" s="27"/>
      <c r="R81" s="28" t="s">
        <v>468</v>
      </c>
      <c r="S81" s="8" t="s">
        <v>469</v>
      </c>
      <c r="T81" s="29" t="s">
        <v>444</v>
      </c>
      <c r="U81" s="24"/>
    </row>
    <row r="82">
      <c r="A82" s="30">
        <v>5.904941751241E12</v>
      </c>
      <c r="B82" s="20" t="s">
        <v>452</v>
      </c>
      <c r="C82" s="21">
        <v>0.053</v>
      </c>
      <c r="D82" s="21">
        <v>0.134</v>
      </c>
      <c r="E82" s="21">
        <v>0.053</v>
      </c>
      <c r="F82" s="22">
        <v>6.0</v>
      </c>
      <c r="G82" s="23"/>
      <c r="H82" s="24" t="s">
        <v>443</v>
      </c>
      <c r="I82" s="21" t="s">
        <v>444</v>
      </c>
      <c r="J82" s="24" t="s">
        <v>453</v>
      </c>
      <c r="K82" s="21" t="s">
        <v>454</v>
      </c>
      <c r="L82" s="25" t="s">
        <v>455</v>
      </c>
      <c r="M82" s="26" t="s">
        <v>28</v>
      </c>
      <c r="N82" s="24" t="s">
        <v>340</v>
      </c>
      <c r="O82" s="24" t="s">
        <v>449</v>
      </c>
      <c r="P82" s="27"/>
      <c r="Q82" s="27"/>
      <c r="R82" s="31" t="s">
        <v>456</v>
      </c>
      <c r="S82" s="33" t="s">
        <v>457</v>
      </c>
      <c r="T82" s="29" t="s">
        <v>444</v>
      </c>
      <c r="U82" s="24"/>
    </row>
    <row r="83">
      <c r="A83" s="30">
        <v>5.060639128051E12</v>
      </c>
      <c r="B83" s="20" t="s">
        <v>482</v>
      </c>
      <c r="C83" s="21">
        <v>0.066</v>
      </c>
      <c r="D83" s="21">
        <v>0.168</v>
      </c>
      <c r="E83" s="21">
        <v>0.066</v>
      </c>
      <c r="F83" s="22">
        <v>5.0</v>
      </c>
      <c r="G83" s="23"/>
      <c r="H83" s="24" t="s">
        <v>443</v>
      </c>
      <c r="I83" s="21" t="s">
        <v>444</v>
      </c>
      <c r="J83" s="24" t="s">
        <v>483</v>
      </c>
      <c r="K83" s="21" t="s">
        <v>484</v>
      </c>
      <c r="L83" s="25" t="s">
        <v>485</v>
      </c>
      <c r="M83" s="26" t="s">
        <v>28</v>
      </c>
      <c r="N83" s="24" t="s">
        <v>340</v>
      </c>
      <c r="O83" s="24" t="s">
        <v>449</v>
      </c>
      <c r="P83" s="27"/>
      <c r="Q83" s="27"/>
      <c r="R83" s="31" t="s">
        <v>486</v>
      </c>
      <c r="S83" s="33" t="s">
        <v>487</v>
      </c>
      <c r="T83" s="29" t="s">
        <v>488</v>
      </c>
      <c r="U83" s="24"/>
    </row>
    <row r="84">
      <c r="A84" s="30">
        <v>7.290000066318E12</v>
      </c>
      <c r="B84" s="20" t="s">
        <v>244</v>
      </c>
      <c r="C84" s="21">
        <v>0.128</v>
      </c>
      <c r="D84" s="21">
        <v>0.23</v>
      </c>
      <c r="E84" s="21">
        <v>0.056</v>
      </c>
      <c r="F84" s="22">
        <v>5.0</v>
      </c>
      <c r="G84" s="23"/>
      <c r="H84" s="24" t="s">
        <v>245</v>
      </c>
      <c r="I84" s="21" t="s">
        <v>246</v>
      </c>
      <c r="J84" s="24" t="s">
        <v>247</v>
      </c>
      <c r="K84" s="21" t="s">
        <v>248</v>
      </c>
      <c r="L84" s="25" t="s">
        <v>249</v>
      </c>
      <c r="M84" s="26" t="s">
        <v>37</v>
      </c>
      <c r="N84" s="24" t="s">
        <v>109</v>
      </c>
      <c r="O84" s="24" t="s">
        <v>250</v>
      </c>
      <c r="P84" s="27"/>
      <c r="Q84" s="27"/>
      <c r="R84" s="28" t="s">
        <v>251</v>
      </c>
      <c r="S84" s="8" t="s">
        <v>252</v>
      </c>
      <c r="T84" s="29" t="e">
        <v>#N/A</v>
      </c>
      <c r="U84" s="21" t="s">
        <v>113</v>
      </c>
    </row>
    <row r="85">
      <c r="A85" s="30">
        <v>7.29000006877E12</v>
      </c>
      <c r="B85" s="20" t="s">
        <v>253</v>
      </c>
      <c r="C85" s="21">
        <v>0.128</v>
      </c>
      <c r="D85" s="21">
        <v>0.23</v>
      </c>
      <c r="E85" s="21">
        <v>0.056</v>
      </c>
      <c r="F85" s="22">
        <v>5.0</v>
      </c>
      <c r="G85" s="23"/>
      <c r="H85" s="24" t="s">
        <v>245</v>
      </c>
      <c r="I85" s="21" t="s">
        <v>246</v>
      </c>
      <c r="J85" s="24" t="s">
        <v>254</v>
      </c>
      <c r="K85" s="21" t="s">
        <v>255</v>
      </c>
      <c r="L85" s="25" t="s">
        <v>256</v>
      </c>
      <c r="M85" s="26" t="s">
        <v>37</v>
      </c>
      <c r="N85" s="24" t="s">
        <v>109</v>
      </c>
      <c r="O85" s="24" t="s">
        <v>250</v>
      </c>
      <c r="P85" s="27"/>
      <c r="Q85" s="27"/>
      <c r="R85" s="28" t="s">
        <v>257</v>
      </c>
      <c r="S85" s="8" t="s">
        <v>258</v>
      </c>
      <c r="T85" s="29" t="e">
        <v>#N/A</v>
      </c>
      <c r="U85" s="21" t="s">
        <v>113</v>
      </c>
    </row>
    <row r="86">
      <c r="A86" s="30">
        <v>7.290111565656E12</v>
      </c>
      <c r="B86" s="20" t="s">
        <v>259</v>
      </c>
      <c r="C86" s="21">
        <v>0.128</v>
      </c>
      <c r="D86" s="21">
        <v>0.23</v>
      </c>
      <c r="E86" s="21">
        <v>0.056</v>
      </c>
      <c r="F86" s="22">
        <v>5.0</v>
      </c>
      <c r="G86" s="23"/>
      <c r="H86" s="24" t="s">
        <v>245</v>
      </c>
      <c r="I86" s="21" t="s">
        <v>246</v>
      </c>
      <c r="J86" s="24" t="s">
        <v>260</v>
      </c>
      <c r="K86" s="21" t="s">
        <v>261</v>
      </c>
      <c r="L86" s="25" t="s">
        <v>262</v>
      </c>
      <c r="M86" s="26" t="s">
        <v>28</v>
      </c>
      <c r="N86" s="24" t="s">
        <v>109</v>
      </c>
      <c r="O86" s="24" t="s">
        <v>250</v>
      </c>
      <c r="P86" s="27"/>
      <c r="Q86" s="27"/>
      <c r="R86" s="28" t="s">
        <v>263</v>
      </c>
      <c r="S86" s="8" t="s">
        <v>262</v>
      </c>
      <c r="T86" s="29" t="s">
        <v>246</v>
      </c>
      <c r="U86" s="21" t="s">
        <v>113</v>
      </c>
    </row>
    <row r="87">
      <c r="A87" s="30">
        <v>7.290112966582E12</v>
      </c>
      <c r="B87" s="20" t="s">
        <v>264</v>
      </c>
      <c r="C87" s="21">
        <v>0.14</v>
      </c>
      <c r="D87" s="21">
        <v>0.175</v>
      </c>
      <c r="E87" s="21">
        <v>0.036</v>
      </c>
      <c r="F87" s="22">
        <v>8.0</v>
      </c>
      <c r="G87" s="23"/>
      <c r="H87" s="24" t="s">
        <v>245</v>
      </c>
      <c r="I87" s="21" t="s">
        <v>246</v>
      </c>
      <c r="J87" s="24" t="s">
        <v>265</v>
      </c>
      <c r="K87" s="21" t="s">
        <v>266</v>
      </c>
      <c r="L87" s="25" t="s">
        <v>267</v>
      </c>
      <c r="M87" s="26" t="s">
        <v>28</v>
      </c>
      <c r="N87" s="24" t="s">
        <v>109</v>
      </c>
      <c r="O87" s="24" t="s">
        <v>250</v>
      </c>
      <c r="P87" s="27"/>
      <c r="Q87" s="27"/>
      <c r="R87" s="28" t="s">
        <v>268</v>
      </c>
      <c r="S87" s="8" t="s">
        <v>267</v>
      </c>
      <c r="T87" s="29" t="s">
        <v>246</v>
      </c>
      <c r="U87" s="21" t="s">
        <v>113</v>
      </c>
    </row>
    <row r="88">
      <c r="A88" s="30">
        <v>7.290104508943E12</v>
      </c>
      <c r="B88" s="20" t="s">
        <v>269</v>
      </c>
      <c r="C88" s="21">
        <v>0.19</v>
      </c>
      <c r="D88" s="21">
        <v>0.25</v>
      </c>
      <c r="E88" s="21">
        <v>0.07</v>
      </c>
      <c r="F88" s="22">
        <v>4.0</v>
      </c>
      <c r="G88" s="23"/>
      <c r="H88" s="24" t="s">
        <v>245</v>
      </c>
      <c r="I88" s="21" t="s">
        <v>246</v>
      </c>
      <c r="J88" s="24" t="s">
        <v>270</v>
      </c>
      <c r="K88" s="21" t="s">
        <v>271</v>
      </c>
      <c r="L88" s="25" t="s">
        <v>272</v>
      </c>
      <c r="M88" s="26" t="s">
        <v>28</v>
      </c>
      <c r="N88" s="24" t="s">
        <v>109</v>
      </c>
      <c r="O88" s="24" t="s">
        <v>250</v>
      </c>
      <c r="P88" s="27"/>
      <c r="Q88" s="27"/>
      <c r="R88" s="31" t="s">
        <v>273</v>
      </c>
      <c r="S88" s="33" t="s">
        <v>272</v>
      </c>
      <c r="T88" s="29" t="s">
        <v>246</v>
      </c>
      <c r="U88" s="21" t="s">
        <v>113</v>
      </c>
    </row>
    <row r="89">
      <c r="A89" s="30">
        <v>7.290112334879E12</v>
      </c>
      <c r="B89" s="20" t="s">
        <v>190</v>
      </c>
      <c r="C89" s="21">
        <v>0.08</v>
      </c>
      <c r="D89" s="21">
        <v>0.112</v>
      </c>
      <c r="E89" s="21">
        <v>0.03</v>
      </c>
      <c r="F89" s="22">
        <v>10.0</v>
      </c>
      <c r="G89" s="23"/>
      <c r="H89" s="24" t="s">
        <v>191</v>
      </c>
      <c r="I89" s="21" t="s">
        <v>189</v>
      </c>
      <c r="J89" s="24" t="s">
        <v>192</v>
      </c>
      <c r="K89" s="21" t="s">
        <v>193</v>
      </c>
      <c r="L89" s="25" t="s">
        <v>194</v>
      </c>
      <c r="M89" s="26" t="s">
        <v>28</v>
      </c>
      <c r="N89" s="24" t="s">
        <v>185</v>
      </c>
      <c r="O89" s="24" t="s">
        <v>195</v>
      </c>
      <c r="P89" s="27"/>
      <c r="Q89" s="27"/>
      <c r="R89" s="28" t="s">
        <v>196</v>
      </c>
      <c r="S89" s="8" t="s">
        <v>197</v>
      </c>
      <c r="T89" s="29" t="s">
        <v>198</v>
      </c>
      <c r="U89" s="24"/>
    </row>
    <row r="90">
      <c r="A90" s="30">
        <v>4.2061939E7</v>
      </c>
      <c r="B90" s="20" t="s">
        <v>358</v>
      </c>
      <c r="C90" s="21">
        <v>0.06</v>
      </c>
      <c r="D90" s="21">
        <v>0.22</v>
      </c>
      <c r="E90" s="21">
        <v>0.06</v>
      </c>
      <c r="F90" s="22">
        <v>5.0</v>
      </c>
      <c r="G90" s="23"/>
      <c r="H90" s="24" t="s">
        <v>359</v>
      </c>
      <c r="I90" s="21" t="s">
        <v>360</v>
      </c>
      <c r="J90" s="24" t="s">
        <v>362</v>
      </c>
      <c r="K90" s="21" t="s">
        <v>363</v>
      </c>
      <c r="L90" s="25" t="s">
        <v>364</v>
      </c>
      <c r="M90" s="26" t="s">
        <v>28</v>
      </c>
      <c r="N90" s="24" t="s">
        <v>365</v>
      </c>
      <c r="O90" s="24" t="s">
        <v>366</v>
      </c>
      <c r="P90" s="27"/>
      <c r="Q90" s="27"/>
      <c r="R90" s="28" t="s">
        <v>367</v>
      </c>
      <c r="S90" s="8" t="s">
        <v>368</v>
      </c>
      <c r="T90" s="29" t="s">
        <v>360</v>
      </c>
      <c r="U90" s="24"/>
    </row>
    <row r="91">
      <c r="A91" s="30">
        <v>7.290006855039E12</v>
      </c>
      <c r="B91" s="20" t="s">
        <v>274</v>
      </c>
      <c r="C91" s="21">
        <v>0.125</v>
      </c>
      <c r="D91" s="21">
        <v>0.03</v>
      </c>
      <c r="E91" s="21">
        <v>0.01</v>
      </c>
      <c r="F91" s="22">
        <v>30.0</v>
      </c>
      <c r="G91" s="23"/>
      <c r="H91" s="24" t="s">
        <v>275</v>
      </c>
      <c r="I91" s="21" t="s">
        <v>276</v>
      </c>
      <c r="J91" s="24" t="s">
        <v>277</v>
      </c>
      <c r="K91" s="21" t="s">
        <v>278</v>
      </c>
      <c r="L91" s="25" t="s">
        <v>279</v>
      </c>
      <c r="M91" s="26" t="s">
        <v>37</v>
      </c>
      <c r="N91" s="24" t="s">
        <v>280</v>
      </c>
      <c r="O91" s="24" t="s">
        <v>281</v>
      </c>
      <c r="P91" s="27"/>
      <c r="Q91" s="27"/>
      <c r="R91" s="28" t="s">
        <v>282</v>
      </c>
      <c r="S91" s="8" t="s">
        <v>283</v>
      </c>
      <c r="T91" s="29" t="e">
        <v>#N/A</v>
      </c>
      <c r="U91" s="24"/>
    </row>
    <row r="92">
      <c r="A92" s="30">
        <v>7.290006855046E12</v>
      </c>
      <c r="B92" s="20" t="s">
        <v>291</v>
      </c>
      <c r="C92" s="21">
        <v>0.125</v>
      </c>
      <c r="D92" s="21">
        <v>0.03</v>
      </c>
      <c r="E92" s="21">
        <v>0.01</v>
      </c>
      <c r="F92" s="22">
        <v>30.0</v>
      </c>
      <c r="G92" s="23"/>
      <c r="H92" s="24" t="s">
        <v>275</v>
      </c>
      <c r="I92" s="21" t="s">
        <v>276</v>
      </c>
      <c r="J92" s="24" t="s">
        <v>292</v>
      </c>
      <c r="K92" s="21" t="s">
        <v>293</v>
      </c>
      <c r="L92" s="25" t="s">
        <v>294</v>
      </c>
      <c r="M92" s="26" t="s">
        <v>37</v>
      </c>
      <c r="N92" s="24" t="s">
        <v>280</v>
      </c>
      <c r="O92" s="24" t="s">
        <v>281</v>
      </c>
      <c r="P92" s="27"/>
      <c r="Q92" s="27"/>
      <c r="R92" s="28" t="s">
        <v>295</v>
      </c>
      <c r="S92" s="8" t="s">
        <v>296</v>
      </c>
      <c r="T92" s="29" t="e">
        <v>#N/A</v>
      </c>
      <c r="U92" s="24"/>
    </row>
    <row r="93">
      <c r="A93" s="30">
        <v>7.290006855008E12</v>
      </c>
      <c r="B93" s="20" t="s">
        <v>297</v>
      </c>
      <c r="C93" s="21">
        <v>0.125</v>
      </c>
      <c r="D93" s="21">
        <v>0.03</v>
      </c>
      <c r="E93" s="21">
        <v>0.01</v>
      </c>
      <c r="F93" s="22">
        <v>30.0</v>
      </c>
      <c r="G93" s="23"/>
      <c r="H93" s="24" t="s">
        <v>275</v>
      </c>
      <c r="I93" s="21" t="s">
        <v>276</v>
      </c>
      <c r="J93" s="24" t="s">
        <v>298</v>
      </c>
      <c r="K93" s="21" t="s">
        <v>299</v>
      </c>
      <c r="L93" s="25" t="s">
        <v>300</v>
      </c>
      <c r="M93" s="26" t="s">
        <v>37</v>
      </c>
      <c r="N93" s="24" t="s">
        <v>280</v>
      </c>
      <c r="O93" s="24" t="s">
        <v>281</v>
      </c>
      <c r="P93" s="27"/>
      <c r="Q93" s="27"/>
      <c r="R93" s="28" t="s">
        <v>301</v>
      </c>
      <c r="S93" s="8" t="s">
        <v>302</v>
      </c>
      <c r="T93" s="29" t="e">
        <v>#N/A</v>
      </c>
      <c r="U93" s="24"/>
    </row>
    <row r="94">
      <c r="A94" s="30">
        <v>7.290006855015E12</v>
      </c>
      <c r="B94" s="20" t="s">
        <v>285</v>
      </c>
      <c r="C94" s="21">
        <v>0.125</v>
      </c>
      <c r="D94" s="21">
        <v>0.03</v>
      </c>
      <c r="E94" s="21">
        <v>0.01</v>
      </c>
      <c r="F94" s="22">
        <v>30.0</v>
      </c>
      <c r="G94" s="23"/>
      <c r="H94" s="24" t="s">
        <v>275</v>
      </c>
      <c r="I94" s="21" t="s">
        <v>276</v>
      </c>
      <c r="J94" s="24" t="s">
        <v>286</v>
      </c>
      <c r="K94" s="21" t="s">
        <v>287</v>
      </c>
      <c r="L94" s="25" t="s">
        <v>288</v>
      </c>
      <c r="M94" s="26" t="s">
        <v>37</v>
      </c>
      <c r="N94" s="24" t="s">
        <v>280</v>
      </c>
      <c r="O94" s="24" t="s">
        <v>281</v>
      </c>
      <c r="P94" s="27"/>
      <c r="Q94" s="27"/>
      <c r="R94" s="28" t="s">
        <v>289</v>
      </c>
      <c r="S94" s="8" t="s">
        <v>290</v>
      </c>
      <c r="T94" s="29" t="e">
        <v>#N/A</v>
      </c>
      <c r="U94" s="24"/>
    </row>
    <row r="95">
      <c r="A95" s="30">
        <v>7.610113011652E12</v>
      </c>
      <c r="B95" s="20" t="s">
        <v>505</v>
      </c>
      <c r="C95" s="21">
        <v>0.05</v>
      </c>
      <c r="D95" s="21">
        <v>0.215</v>
      </c>
      <c r="E95" s="21">
        <v>0.05</v>
      </c>
      <c r="F95" s="22">
        <v>6.0</v>
      </c>
      <c r="G95" s="23"/>
      <c r="H95" s="24" t="s">
        <v>506</v>
      </c>
      <c r="I95" s="21" t="s">
        <v>507</v>
      </c>
      <c r="J95" s="24" t="s">
        <v>509</v>
      </c>
      <c r="K95" s="21" t="s">
        <v>510</v>
      </c>
      <c r="L95" s="25" t="s">
        <v>511</v>
      </c>
      <c r="M95" s="26" t="s">
        <v>28</v>
      </c>
      <c r="N95" s="24" t="s">
        <v>512</v>
      </c>
      <c r="O95" s="24" t="s">
        <v>513</v>
      </c>
      <c r="P95" s="27"/>
      <c r="Q95" s="27"/>
      <c r="R95" s="31" t="s">
        <v>514</v>
      </c>
      <c r="S95" s="8" t="s">
        <v>515</v>
      </c>
      <c r="T95" s="29" t="s">
        <v>516</v>
      </c>
      <c r="U95" s="24"/>
    </row>
    <row r="96">
      <c r="A96" s="30">
        <v>5.010677554398E12</v>
      </c>
      <c r="B96" s="20" t="s">
        <v>523</v>
      </c>
      <c r="C96" s="21">
        <v>0.058</v>
      </c>
      <c r="D96" s="21">
        <v>0.212</v>
      </c>
      <c r="E96" s="21">
        <v>0.058</v>
      </c>
      <c r="F96" s="22">
        <v>5.0</v>
      </c>
      <c r="G96" s="23"/>
      <c r="H96" s="24" t="s">
        <v>506</v>
      </c>
      <c r="I96" s="21" t="s">
        <v>507</v>
      </c>
      <c r="J96" s="24" t="s">
        <v>524</v>
      </c>
      <c r="K96" s="21" t="s">
        <v>525</v>
      </c>
      <c r="L96" s="25" t="s">
        <v>526</v>
      </c>
      <c r="M96" s="26" t="s">
        <v>28</v>
      </c>
      <c r="N96" s="24" t="s">
        <v>512</v>
      </c>
      <c r="O96" s="24" t="s">
        <v>513</v>
      </c>
      <c r="P96" s="27"/>
      <c r="Q96" s="27"/>
      <c r="R96" s="31" t="s">
        <v>527</v>
      </c>
      <c r="S96" s="8" t="s">
        <v>528</v>
      </c>
      <c r="T96" s="29" t="s">
        <v>516</v>
      </c>
      <c r="U96" s="24"/>
    </row>
    <row r="97">
      <c r="A97" s="30">
        <v>5.010677552387E12</v>
      </c>
      <c r="B97" s="20" t="s">
        <v>517</v>
      </c>
      <c r="C97" s="21">
        <v>0.058</v>
      </c>
      <c r="D97" s="21">
        <v>0.212</v>
      </c>
      <c r="E97" s="21">
        <v>0.058</v>
      </c>
      <c r="F97" s="22">
        <v>5.0</v>
      </c>
      <c r="G97" s="23"/>
      <c r="H97" s="24" t="s">
        <v>506</v>
      </c>
      <c r="I97" s="21" t="s">
        <v>507</v>
      </c>
      <c r="J97" s="24" t="s">
        <v>518</v>
      </c>
      <c r="K97" s="21" t="s">
        <v>519</v>
      </c>
      <c r="L97" s="25" t="s">
        <v>520</v>
      </c>
      <c r="M97" s="26" t="s">
        <v>28</v>
      </c>
      <c r="N97" s="24" t="s">
        <v>512</v>
      </c>
      <c r="O97" s="24" t="s">
        <v>513</v>
      </c>
      <c r="P97" s="27"/>
      <c r="Q97" s="27"/>
      <c r="R97" s="31" t="s">
        <v>521</v>
      </c>
      <c r="S97" s="8" t="s">
        <v>522</v>
      </c>
      <c r="T97" s="29" t="s">
        <v>516</v>
      </c>
      <c r="U97" s="24"/>
    </row>
    <row r="98">
      <c r="A98" s="30">
        <v>7.290008464963E12</v>
      </c>
      <c r="B98" s="20" t="s">
        <v>2007</v>
      </c>
      <c r="C98" s="21">
        <v>0.06</v>
      </c>
      <c r="D98" s="21">
        <v>0.193</v>
      </c>
      <c r="E98" s="21">
        <v>0.06</v>
      </c>
      <c r="F98" s="22">
        <v>5.0</v>
      </c>
      <c r="G98" s="23"/>
      <c r="H98" s="24" t="s">
        <v>2008</v>
      </c>
      <c r="I98" s="21" t="s">
        <v>2009</v>
      </c>
      <c r="J98" s="24" t="s">
        <v>2010</v>
      </c>
      <c r="K98" s="21" t="s">
        <v>2011</v>
      </c>
      <c r="L98" s="25" t="s">
        <v>2012</v>
      </c>
      <c r="M98" s="26" t="s">
        <v>37</v>
      </c>
      <c r="N98" s="24" t="s">
        <v>1555</v>
      </c>
      <c r="O98" s="24" t="s">
        <v>1556</v>
      </c>
      <c r="P98" s="27"/>
      <c r="Q98" s="27"/>
      <c r="R98" s="28" t="s">
        <v>2013</v>
      </c>
      <c r="S98" s="8" t="s">
        <v>2014</v>
      </c>
      <c r="T98" s="29" t="e">
        <v>#N/A</v>
      </c>
      <c r="U98" s="24"/>
    </row>
    <row r="99">
      <c r="A99" s="30">
        <v>7.290008464895E12</v>
      </c>
      <c r="B99" s="20" t="s">
        <v>2015</v>
      </c>
      <c r="C99" s="21">
        <v>0.06</v>
      </c>
      <c r="D99" s="21">
        <v>0.193</v>
      </c>
      <c r="E99" s="21">
        <v>0.06</v>
      </c>
      <c r="F99" s="22">
        <v>5.0</v>
      </c>
      <c r="G99" s="23"/>
      <c r="H99" s="24" t="s">
        <v>2008</v>
      </c>
      <c r="I99" s="21" t="s">
        <v>2009</v>
      </c>
      <c r="J99" s="24" t="s">
        <v>2016</v>
      </c>
      <c r="K99" s="21" t="s">
        <v>2017</v>
      </c>
      <c r="L99" s="25" t="s">
        <v>2018</v>
      </c>
      <c r="M99" s="26" t="s">
        <v>37</v>
      </c>
      <c r="N99" s="24" t="s">
        <v>1555</v>
      </c>
      <c r="O99" s="24" t="s">
        <v>1556</v>
      </c>
      <c r="P99" s="27"/>
      <c r="Q99" s="27"/>
      <c r="R99" s="28" t="s">
        <v>2019</v>
      </c>
      <c r="S99" s="8" t="s">
        <v>2020</v>
      </c>
      <c r="T99" s="29" t="e">
        <v>#N/A</v>
      </c>
      <c r="U99" s="24"/>
    </row>
    <row r="100">
      <c r="A100" s="30">
        <v>7.501013101393E12</v>
      </c>
      <c r="B100" s="20" t="s">
        <v>1981</v>
      </c>
      <c r="C100" s="21">
        <v>0.068</v>
      </c>
      <c r="D100" s="21">
        <v>0.175</v>
      </c>
      <c r="E100" s="21">
        <v>0.068</v>
      </c>
      <c r="F100" s="22">
        <v>4.0</v>
      </c>
      <c r="G100" s="23"/>
      <c r="H100" s="24" t="s">
        <v>1950</v>
      </c>
      <c r="I100" s="21" t="s">
        <v>1951</v>
      </c>
      <c r="J100" s="24" t="s">
        <v>1982</v>
      </c>
      <c r="K100" s="21" t="s">
        <v>1983</v>
      </c>
      <c r="L100" s="25" t="s">
        <v>1984</v>
      </c>
      <c r="M100" s="26" t="s">
        <v>28</v>
      </c>
      <c r="N100" s="24" t="s">
        <v>1555</v>
      </c>
      <c r="O100" s="24" t="s">
        <v>1556</v>
      </c>
      <c r="P100" s="27"/>
      <c r="Q100" s="27"/>
      <c r="R100" s="28" t="s">
        <v>1985</v>
      </c>
      <c r="S100" s="8" t="s">
        <v>1986</v>
      </c>
      <c r="T100" s="29" t="s">
        <v>1951</v>
      </c>
      <c r="U100" s="24"/>
    </row>
    <row r="101">
      <c r="A101" s="30">
        <v>7.501013101355E12</v>
      </c>
      <c r="B101" s="20" t="s">
        <v>1949</v>
      </c>
      <c r="C101" s="21">
        <v>0.068</v>
      </c>
      <c r="D101" s="21">
        <v>0.175</v>
      </c>
      <c r="E101" s="21">
        <v>0.068</v>
      </c>
      <c r="F101" s="22">
        <v>4.0</v>
      </c>
      <c r="G101" s="23"/>
      <c r="H101" s="24" t="s">
        <v>1950</v>
      </c>
      <c r="I101" s="21" t="s">
        <v>1951</v>
      </c>
      <c r="J101" s="24" t="s">
        <v>1952</v>
      </c>
      <c r="K101" s="21" t="s">
        <v>1953</v>
      </c>
      <c r="L101" s="25" t="s">
        <v>1954</v>
      </c>
      <c r="M101" s="26" t="s">
        <v>28</v>
      </c>
      <c r="N101" s="24" t="s">
        <v>1555</v>
      </c>
      <c r="O101" s="24" t="s">
        <v>1556</v>
      </c>
      <c r="P101" s="27"/>
      <c r="Q101" s="27"/>
      <c r="R101" s="31" t="s">
        <v>1955</v>
      </c>
      <c r="S101" s="8" t="s">
        <v>1956</v>
      </c>
      <c r="T101" s="29" t="s">
        <v>1951</v>
      </c>
      <c r="U101" s="24"/>
    </row>
    <row r="102">
      <c r="A102" s="30">
        <v>7.501013101348E12</v>
      </c>
      <c r="B102" s="20" t="s">
        <v>1975</v>
      </c>
      <c r="C102" s="21">
        <v>0.068</v>
      </c>
      <c r="D102" s="21">
        <v>0.175</v>
      </c>
      <c r="E102" s="21">
        <v>0.068</v>
      </c>
      <c r="F102" s="22">
        <v>4.0</v>
      </c>
      <c r="G102" s="23"/>
      <c r="H102" s="24" t="s">
        <v>1950</v>
      </c>
      <c r="I102" s="21" t="s">
        <v>1951</v>
      </c>
      <c r="J102" s="24" t="s">
        <v>1976</v>
      </c>
      <c r="K102" s="21" t="s">
        <v>1977</v>
      </c>
      <c r="L102" s="25" t="s">
        <v>1978</v>
      </c>
      <c r="M102" s="26" t="s">
        <v>28</v>
      </c>
      <c r="N102" s="24" t="s">
        <v>1555</v>
      </c>
      <c r="O102" s="24" t="s">
        <v>1556</v>
      </c>
      <c r="P102" s="27"/>
      <c r="Q102" s="27"/>
      <c r="R102" s="28" t="s">
        <v>1979</v>
      </c>
      <c r="S102" s="8" t="s">
        <v>1980</v>
      </c>
      <c r="T102" s="29" t="s">
        <v>1951</v>
      </c>
      <c r="U102" s="24"/>
    </row>
    <row r="103">
      <c r="A103" s="30">
        <v>7.501013122114E12</v>
      </c>
      <c r="B103" s="20" t="s">
        <v>1957</v>
      </c>
      <c r="C103" s="21">
        <v>0.08</v>
      </c>
      <c r="D103" s="21">
        <v>0.24</v>
      </c>
      <c r="E103" s="21">
        <v>0.07</v>
      </c>
      <c r="F103" s="22">
        <v>4.0</v>
      </c>
      <c r="G103" s="23"/>
      <c r="H103" s="24" t="s">
        <v>1950</v>
      </c>
      <c r="I103" s="21" t="s">
        <v>1951</v>
      </c>
      <c r="J103" s="24" t="s">
        <v>1958</v>
      </c>
      <c r="K103" s="21" t="s">
        <v>1959</v>
      </c>
      <c r="L103" s="25" t="s">
        <v>1960</v>
      </c>
      <c r="M103" s="26" t="s">
        <v>28</v>
      </c>
      <c r="N103" s="24" t="s">
        <v>1555</v>
      </c>
      <c r="O103" s="24" t="s">
        <v>1918</v>
      </c>
      <c r="P103" s="27"/>
      <c r="Q103" s="27"/>
      <c r="R103" s="31" t="s">
        <v>1961</v>
      </c>
      <c r="S103" s="33" t="s">
        <v>1962</v>
      </c>
      <c r="T103" s="29" t="s">
        <v>1951</v>
      </c>
      <c r="U103" s="24"/>
    </row>
    <row r="104">
      <c r="A104" s="30">
        <v>7.501013122053E12</v>
      </c>
      <c r="B104" s="20" t="s">
        <v>1969</v>
      </c>
      <c r="C104" s="21">
        <v>0.08</v>
      </c>
      <c r="D104" s="21">
        <v>0.24</v>
      </c>
      <c r="E104" s="21">
        <v>0.07</v>
      </c>
      <c r="F104" s="22">
        <v>4.0</v>
      </c>
      <c r="G104" s="23"/>
      <c r="H104" s="24" t="s">
        <v>1950</v>
      </c>
      <c r="I104" s="21" t="s">
        <v>1951</v>
      </c>
      <c r="J104" s="24" t="s">
        <v>1970</v>
      </c>
      <c r="K104" s="21" t="s">
        <v>1971</v>
      </c>
      <c r="L104" s="25" t="s">
        <v>1972</v>
      </c>
      <c r="M104" s="26" t="s">
        <v>28</v>
      </c>
      <c r="N104" s="24" t="s">
        <v>1555</v>
      </c>
      <c r="O104" s="24" t="s">
        <v>1918</v>
      </c>
      <c r="P104" s="27"/>
      <c r="Q104" s="27"/>
      <c r="R104" s="31" t="s">
        <v>1973</v>
      </c>
      <c r="S104" s="33" t="s">
        <v>1974</v>
      </c>
      <c r="T104" s="29" t="s">
        <v>1951</v>
      </c>
      <c r="U104" s="24"/>
    </row>
    <row r="105">
      <c r="A105" s="30">
        <v>7.501013122039E12</v>
      </c>
      <c r="B105" s="20" t="s">
        <v>1963</v>
      </c>
      <c r="C105" s="21">
        <v>0.08</v>
      </c>
      <c r="D105" s="21">
        <v>0.24</v>
      </c>
      <c r="E105" s="21">
        <v>0.07</v>
      </c>
      <c r="F105" s="22">
        <v>4.0</v>
      </c>
      <c r="G105" s="23"/>
      <c r="H105" s="24" t="s">
        <v>1950</v>
      </c>
      <c r="I105" s="21" t="s">
        <v>1951</v>
      </c>
      <c r="J105" s="24" t="s">
        <v>1964</v>
      </c>
      <c r="K105" s="21" t="s">
        <v>1965</v>
      </c>
      <c r="L105" s="25" t="s">
        <v>1966</v>
      </c>
      <c r="M105" s="26" t="s">
        <v>28</v>
      </c>
      <c r="N105" s="24" t="s">
        <v>1555</v>
      </c>
      <c r="O105" s="24" t="s">
        <v>1918</v>
      </c>
      <c r="P105" s="27"/>
      <c r="Q105" s="27"/>
      <c r="R105" s="31" t="s">
        <v>1967</v>
      </c>
      <c r="S105" s="33" t="s">
        <v>1968</v>
      </c>
      <c r="T105" s="29" t="s">
        <v>1951</v>
      </c>
      <c r="U105" s="24"/>
    </row>
    <row r="106">
      <c r="A106" s="30">
        <v>7.501013122992E12</v>
      </c>
      <c r="B106" s="20" t="s">
        <v>1987</v>
      </c>
      <c r="C106" s="21">
        <v>0.08</v>
      </c>
      <c r="D106" s="21">
        <v>0.24</v>
      </c>
      <c r="E106" s="21">
        <v>0.07</v>
      </c>
      <c r="F106" s="22">
        <v>4.0</v>
      </c>
      <c r="G106" s="23"/>
      <c r="H106" s="24" t="s">
        <v>1950</v>
      </c>
      <c r="I106" s="21" t="s">
        <v>1951</v>
      </c>
      <c r="J106" s="24" t="s">
        <v>1988</v>
      </c>
      <c r="K106" s="21" t="s">
        <v>1989</v>
      </c>
      <c r="L106" s="25" t="s">
        <v>1990</v>
      </c>
      <c r="M106" s="26" t="s">
        <v>28</v>
      </c>
      <c r="N106" s="24" t="s">
        <v>1555</v>
      </c>
      <c r="O106" s="24" t="s">
        <v>1918</v>
      </c>
      <c r="P106" s="27"/>
      <c r="Q106" s="27"/>
      <c r="R106" s="28" t="s">
        <v>1991</v>
      </c>
      <c r="S106" s="8" t="s">
        <v>1992</v>
      </c>
      <c r="T106" s="29" t="s">
        <v>1951</v>
      </c>
      <c r="U106" s="24"/>
    </row>
    <row r="107">
      <c r="A107" s="30">
        <v>8.690504033431E12</v>
      </c>
      <c r="B107" s="20" t="s">
        <v>1686</v>
      </c>
      <c r="C107" s="21">
        <v>0.16</v>
      </c>
      <c r="D107" s="21">
        <v>0.05</v>
      </c>
      <c r="E107" s="21">
        <v>0.02</v>
      </c>
      <c r="F107" s="22">
        <v>15.0</v>
      </c>
      <c r="G107" s="23"/>
      <c r="H107" s="24" t="s">
        <v>1679</v>
      </c>
      <c r="I107" s="21" t="s">
        <v>1680</v>
      </c>
      <c r="J107" s="24" t="s">
        <v>1687</v>
      </c>
      <c r="K107" s="21" t="s">
        <v>1688</v>
      </c>
      <c r="L107" s="25" t="s">
        <v>1689</v>
      </c>
      <c r="M107" s="26" t="s">
        <v>28</v>
      </c>
      <c r="N107" s="24" t="s">
        <v>501</v>
      </c>
      <c r="O107" s="24" t="s">
        <v>502</v>
      </c>
      <c r="P107" s="27"/>
      <c r="Q107" s="27"/>
      <c r="R107" s="31" t="s">
        <v>1690</v>
      </c>
      <c r="S107" s="33" t="s">
        <v>1691</v>
      </c>
      <c r="T107" s="29" t="s">
        <v>1680</v>
      </c>
      <c r="U107" s="24"/>
    </row>
    <row r="108">
      <c r="A108" s="30">
        <v>8.690504153856E12</v>
      </c>
      <c r="B108" s="20" t="s">
        <v>1698</v>
      </c>
      <c r="C108" s="21">
        <v>0.16</v>
      </c>
      <c r="D108" s="21">
        <v>0.05</v>
      </c>
      <c r="E108" s="21">
        <v>0.02</v>
      </c>
      <c r="F108" s="22">
        <v>15.0</v>
      </c>
      <c r="G108" s="23"/>
      <c r="H108" s="24" t="s">
        <v>1679</v>
      </c>
      <c r="I108" s="21" t="s">
        <v>1680</v>
      </c>
      <c r="J108" s="24" t="s">
        <v>1699</v>
      </c>
      <c r="K108" s="21" t="s">
        <v>1700</v>
      </c>
      <c r="L108" s="25" t="s">
        <v>1701</v>
      </c>
      <c r="M108" s="26" t="s">
        <v>28</v>
      </c>
      <c r="N108" s="24" t="s">
        <v>501</v>
      </c>
      <c r="O108" s="24" t="s">
        <v>502</v>
      </c>
      <c r="P108" s="27"/>
      <c r="Q108" s="27"/>
      <c r="R108" s="31" t="s">
        <v>1702</v>
      </c>
      <c r="S108" s="8" t="s">
        <v>1703</v>
      </c>
      <c r="T108" s="29" t="s">
        <v>1680</v>
      </c>
      <c r="U108" s="24"/>
    </row>
    <row r="109">
      <c r="A109" s="30">
        <v>8.690504033448E12</v>
      </c>
      <c r="B109" s="20" t="s">
        <v>1692</v>
      </c>
      <c r="C109" s="21">
        <v>0.16</v>
      </c>
      <c r="D109" s="21">
        <v>0.05</v>
      </c>
      <c r="E109" s="21">
        <v>0.02</v>
      </c>
      <c r="F109" s="22">
        <v>15.0</v>
      </c>
      <c r="G109" s="23"/>
      <c r="H109" s="24" t="s">
        <v>1679</v>
      </c>
      <c r="I109" s="21" t="s">
        <v>1680</v>
      </c>
      <c r="J109" s="24" t="s">
        <v>1693</v>
      </c>
      <c r="K109" s="21" t="s">
        <v>1694</v>
      </c>
      <c r="L109" s="25" t="s">
        <v>1695</v>
      </c>
      <c r="M109" s="26" t="s">
        <v>28</v>
      </c>
      <c r="N109" s="24" t="s">
        <v>501</v>
      </c>
      <c r="O109" s="24" t="s">
        <v>502</v>
      </c>
      <c r="P109" s="27"/>
      <c r="Q109" s="27"/>
      <c r="R109" s="31" t="s">
        <v>1696</v>
      </c>
      <c r="S109" s="8" t="s">
        <v>1697</v>
      </c>
      <c r="T109" s="29" t="s">
        <v>1680</v>
      </c>
      <c r="U109" s="24"/>
    </row>
    <row r="110">
      <c r="A110" s="30">
        <v>8.690504153764E12</v>
      </c>
      <c r="B110" s="20" t="s">
        <v>1678</v>
      </c>
      <c r="C110" s="21">
        <v>0.16</v>
      </c>
      <c r="D110" s="21">
        <v>0.05</v>
      </c>
      <c r="E110" s="21">
        <v>0.02</v>
      </c>
      <c r="F110" s="22">
        <v>15.0</v>
      </c>
      <c r="G110" s="23"/>
      <c r="H110" s="24" t="s">
        <v>1679</v>
      </c>
      <c r="I110" s="21" t="s">
        <v>1680</v>
      </c>
      <c r="J110" s="24" t="s">
        <v>1681</v>
      </c>
      <c r="K110" s="21" t="s">
        <v>1682</v>
      </c>
      <c r="L110" s="25" t="s">
        <v>1683</v>
      </c>
      <c r="M110" s="26" t="s">
        <v>28</v>
      </c>
      <c r="N110" s="24" t="s">
        <v>501</v>
      </c>
      <c r="O110" s="24" t="s">
        <v>502</v>
      </c>
      <c r="P110" s="27"/>
      <c r="Q110" s="27"/>
      <c r="R110" s="31" t="s">
        <v>1684</v>
      </c>
      <c r="S110" s="8" t="s">
        <v>1685</v>
      </c>
      <c r="T110" s="29" t="s">
        <v>1680</v>
      </c>
      <c r="U110" s="24"/>
    </row>
    <row r="111">
      <c r="A111" s="30">
        <v>7.290008464345E12</v>
      </c>
      <c r="B111" s="20" t="s">
        <v>1729</v>
      </c>
      <c r="C111" s="21">
        <v>0.06</v>
      </c>
      <c r="D111" s="21">
        <v>0.228</v>
      </c>
      <c r="E111" s="21">
        <v>0.06</v>
      </c>
      <c r="F111" s="22">
        <v>5.0</v>
      </c>
      <c r="G111" s="23"/>
      <c r="H111" s="24" t="s">
        <v>1730</v>
      </c>
      <c r="I111" s="21" t="s">
        <v>1731</v>
      </c>
      <c r="J111" s="24" t="s">
        <v>1732</v>
      </c>
      <c r="K111" s="21" t="s">
        <v>1733</v>
      </c>
      <c r="L111" s="25" t="s">
        <v>1734</v>
      </c>
      <c r="M111" s="26" t="s">
        <v>37</v>
      </c>
      <c r="N111" s="24" t="s">
        <v>365</v>
      </c>
      <c r="O111" s="24" t="s">
        <v>536</v>
      </c>
      <c r="P111" s="27"/>
      <c r="Q111" s="27"/>
      <c r="R111" s="28" t="s">
        <v>1735</v>
      </c>
      <c r="S111" s="8" t="s">
        <v>1736</v>
      </c>
      <c r="T111" s="29" t="e">
        <v>#N/A</v>
      </c>
      <c r="U111" s="24"/>
    </row>
    <row r="112">
      <c r="A112" s="30">
        <v>7.290008464109E12</v>
      </c>
      <c r="B112" s="20" t="s">
        <v>1749</v>
      </c>
      <c r="C112" s="21">
        <v>0.06</v>
      </c>
      <c r="D112" s="21">
        <v>0.228</v>
      </c>
      <c r="E112" s="21">
        <v>0.06</v>
      </c>
      <c r="F112" s="22">
        <v>5.0</v>
      </c>
      <c r="G112" s="23"/>
      <c r="H112" s="24" t="s">
        <v>1730</v>
      </c>
      <c r="I112" s="21" t="s">
        <v>1731</v>
      </c>
      <c r="J112" s="24" t="s">
        <v>1750</v>
      </c>
      <c r="K112" s="21" t="s">
        <v>1751</v>
      </c>
      <c r="L112" s="25" t="s">
        <v>1752</v>
      </c>
      <c r="M112" s="26" t="s">
        <v>37</v>
      </c>
      <c r="N112" s="24" t="s">
        <v>365</v>
      </c>
      <c r="O112" s="24" t="s">
        <v>536</v>
      </c>
      <c r="P112" s="27"/>
      <c r="Q112" s="27"/>
      <c r="R112" s="28" t="s">
        <v>1753</v>
      </c>
      <c r="S112" s="8" t="s">
        <v>1754</v>
      </c>
      <c r="T112" s="29" t="e">
        <v>#N/A</v>
      </c>
      <c r="U112" s="24"/>
    </row>
    <row r="113">
      <c r="A113" s="30">
        <v>7.290008464468E12</v>
      </c>
      <c r="B113" s="20" t="s">
        <v>1737</v>
      </c>
      <c r="C113" s="21">
        <v>0.065</v>
      </c>
      <c r="D113" s="21">
        <v>0.17</v>
      </c>
      <c r="E113" s="21">
        <v>0.065</v>
      </c>
      <c r="F113" s="22">
        <v>5.0</v>
      </c>
      <c r="G113" s="23"/>
      <c r="H113" s="24" t="s">
        <v>1730</v>
      </c>
      <c r="I113" s="21" t="s">
        <v>1731</v>
      </c>
      <c r="J113" s="24" t="s">
        <v>1738</v>
      </c>
      <c r="K113" s="21" t="s">
        <v>1739</v>
      </c>
      <c r="L113" s="25" t="s">
        <v>1740</v>
      </c>
      <c r="M113" s="26" t="s">
        <v>37</v>
      </c>
      <c r="N113" s="24" t="s">
        <v>365</v>
      </c>
      <c r="O113" s="24" t="s">
        <v>366</v>
      </c>
      <c r="P113" s="27"/>
      <c r="Q113" s="27"/>
      <c r="R113" s="31" t="s">
        <v>1741</v>
      </c>
      <c r="S113" s="33" t="s">
        <v>1742</v>
      </c>
      <c r="T113" s="29" t="e">
        <v>#N/A</v>
      </c>
      <c r="U113" s="24"/>
    </row>
    <row r="114">
      <c r="A114" s="30">
        <v>7.290008464024E12</v>
      </c>
      <c r="B114" s="20" t="s">
        <v>1743</v>
      </c>
      <c r="C114" s="21">
        <v>0.065</v>
      </c>
      <c r="D114" s="21">
        <v>0.17</v>
      </c>
      <c r="E114" s="21">
        <v>0.065</v>
      </c>
      <c r="F114" s="22">
        <v>5.0</v>
      </c>
      <c r="G114" s="23"/>
      <c r="H114" s="24" t="s">
        <v>1730</v>
      </c>
      <c r="I114" s="21" t="s">
        <v>1731</v>
      </c>
      <c r="J114" s="24" t="s">
        <v>1744</v>
      </c>
      <c r="K114" s="21" t="s">
        <v>1745</v>
      </c>
      <c r="L114" s="25" t="s">
        <v>1746</v>
      </c>
      <c r="M114" s="26" t="s">
        <v>37</v>
      </c>
      <c r="N114" s="24" t="s">
        <v>365</v>
      </c>
      <c r="O114" s="24" t="s">
        <v>366</v>
      </c>
      <c r="P114" s="27"/>
      <c r="Q114" s="27"/>
      <c r="R114" s="31" t="s">
        <v>1747</v>
      </c>
      <c r="S114" s="33" t="s">
        <v>1748</v>
      </c>
      <c r="T114" s="29" t="e">
        <v>#N/A</v>
      </c>
      <c r="U114" s="24"/>
    </row>
    <row r="115">
      <c r="A115" s="30">
        <v>7.501013101362E12</v>
      </c>
      <c r="B115" s="20" t="s">
        <v>1993</v>
      </c>
      <c r="C115" s="21">
        <v>0.068</v>
      </c>
      <c r="D115" s="21">
        <v>0.175</v>
      </c>
      <c r="E115" s="21">
        <v>0.068</v>
      </c>
      <c r="F115" s="22">
        <v>4.0</v>
      </c>
      <c r="G115" s="23"/>
      <c r="H115" s="24" t="s">
        <v>1994</v>
      </c>
      <c r="I115" s="21" t="s">
        <v>1951</v>
      </c>
      <c r="J115" s="24" t="s">
        <v>1995</v>
      </c>
      <c r="K115" s="21" t="s">
        <v>1996</v>
      </c>
      <c r="L115" s="25" t="s">
        <v>1997</v>
      </c>
      <c r="M115" s="26" t="s">
        <v>28</v>
      </c>
      <c r="N115" s="24" t="s">
        <v>1555</v>
      </c>
      <c r="O115" s="24" t="s">
        <v>1556</v>
      </c>
      <c r="P115" s="27"/>
      <c r="Q115" s="27"/>
      <c r="R115" s="28" t="s">
        <v>1998</v>
      </c>
      <c r="S115" s="8" t="s">
        <v>1999</v>
      </c>
      <c r="T115" s="29" t="s">
        <v>1951</v>
      </c>
      <c r="U115" s="24"/>
    </row>
    <row r="116">
      <c r="A116" s="30">
        <v>4122195.0</v>
      </c>
      <c r="B116" s="20" t="s">
        <v>1755</v>
      </c>
      <c r="C116" s="21">
        <v>0.134</v>
      </c>
      <c r="D116" s="21">
        <v>0.154</v>
      </c>
      <c r="E116" s="21">
        <v>0.035</v>
      </c>
      <c r="F116" s="22">
        <v>9.0</v>
      </c>
      <c r="G116" s="23"/>
      <c r="H116" s="24" t="s">
        <v>1756</v>
      </c>
      <c r="I116" s="21" t="s">
        <v>1757</v>
      </c>
      <c r="J116" s="24" t="s">
        <v>1758</v>
      </c>
      <c r="K116" s="21" t="s">
        <v>1759</v>
      </c>
      <c r="L116" s="25" t="s">
        <v>1760</v>
      </c>
      <c r="M116" s="26" t="s">
        <v>28</v>
      </c>
      <c r="N116" s="24" t="s">
        <v>1761</v>
      </c>
      <c r="O116" s="24" t="s">
        <v>1762</v>
      </c>
      <c r="P116" s="27"/>
      <c r="Q116" s="27"/>
      <c r="R116" s="28" t="s">
        <v>1763</v>
      </c>
      <c r="S116" s="8" t="s">
        <v>1764</v>
      </c>
      <c r="T116" s="29" t="s">
        <v>1765</v>
      </c>
      <c r="U116" s="24"/>
    </row>
    <row r="117">
      <c r="A117" s="30">
        <v>8.001160001786E12</v>
      </c>
      <c r="B117" s="20" t="s">
        <v>1648</v>
      </c>
      <c r="C117" s="21">
        <v>0.062</v>
      </c>
      <c r="D117" s="21">
        <v>0.24</v>
      </c>
      <c r="E117" s="21">
        <v>0.062</v>
      </c>
      <c r="F117" s="22">
        <v>5.0</v>
      </c>
      <c r="G117" s="23"/>
      <c r="H117" s="24" t="s">
        <v>1639</v>
      </c>
      <c r="I117" s="21" t="s">
        <v>1640</v>
      </c>
      <c r="J117" s="24" t="s">
        <v>1649</v>
      </c>
      <c r="K117" s="21" t="s">
        <v>1650</v>
      </c>
      <c r="L117" s="25" t="s">
        <v>1651</v>
      </c>
      <c r="M117" s="26" t="s">
        <v>28</v>
      </c>
      <c r="N117" s="24" t="s">
        <v>340</v>
      </c>
      <c r="O117" s="24" t="s">
        <v>1645</v>
      </c>
      <c r="P117" s="27"/>
      <c r="Q117" s="27"/>
      <c r="R117" s="28" t="s">
        <v>1652</v>
      </c>
      <c r="S117" s="8" t="s">
        <v>1653</v>
      </c>
      <c r="T117" s="29" t="s">
        <v>1640</v>
      </c>
      <c r="U117" s="24"/>
    </row>
    <row r="118">
      <c r="A118" s="30">
        <v>8.001160001892E12</v>
      </c>
      <c r="B118" s="20" t="s">
        <v>1638</v>
      </c>
      <c r="C118" s="21">
        <v>0.062</v>
      </c>
      <c r="D118" s="21">
        <v>0.24</v>
      </c>
      <c r="E118" s="21">
        <v>0.062</v>
      </c>
      <c r="F118" s="22">
        <v>5.0</v>
      </c>
      <c r="G118" s="23"/>
      <c r="H118" s="24" t="s">
        <v>1639</v>
      </c>
      <c r="I118" s="21" t="s">
        <v>1640</v>
      </c>
      <c r="J118" s="24" t="s">
        <v>1642</v>
      </c>
      <c r="K118" s="21" t="s">
        <v>1643</v>
      </c>
      <c r="L118" s="25" t="s">
        <v>1644</v>
      </c>
      <c r="M118" s="26" t="s">
        <v>28</v>
      </c>
      <c r="N118" s="24" t="s">
        <v>340</v>
      </c>
      <c r="O118" s="24" t="s">
        <v>1645</v>
      </c>
      <c r="P118" s="27"/>
      <c r="Q118" s="27"/>
      <c r="R118" s="28" t="s">
        <v>1646</v>
      </c>
      <c r="S118" s="8" t="s">
        <v>1647</v>
      </c>
      <c r="T118" s="29" t="s">
        <v>1640</v>
      </c>
      <c r="U118" s="24"/>
    </row>
    <row r="119">
      <c r="A119" s="30">
        <v>8.714599513828E12</v>
      </c>
      <c r="B119" s="20" t="s">
        <v>5183</v>
      </c>
      <c r="C119" s="21">
        <v>0.061</v>
      </c>
      <c r="D119" s="21">
        <v>0.09999999</v>
      </c>
      <c r="E119" s="21">
        <v>0.02</v>
      </c>
      <c r="F119" s="22">
        <v>15.0</v>
      </c>
      <c r="G119" s="23"/>
      <c r="H119" s="24" t="s">
        <v>1940</v>
      </c>
      <c r="I119" s="21" t="s">
        <v>1948</v>
      </c>
      <c r="J119" s="24" t="s">
        <v>1942</v>
      </c>
      <c r="K119" s="21" t="s">
        <v>1943</v>
      </c>
      <c r="L119" s="25" t="s">
        <v>1944</v>
      </c>
      <c r="M119" s="26" t="s">
        <v>28</v>
      </c>
      <c r="N119" s="24" t="s">
        <v>1262</v>
      </c>
      <c r="O119" s="24" t="s">
        <v>1945</v>
      </c>
      <c r="P119" s="27"/>
      <c r="Q119" s="27"/>
      <c r="R119" s="28" t="s">
        <v>1946</v>
      </c>
      <c r="S119" s="8" t="s">
        <v>1947</v>
      </c>
      <c r="T119" s="29" t="s">
        <v>1948</v>
      </c>
      <c r="U119" s="24"/>
    </row>
    <row r="120">
      <c r="A120" s="30">
        <v>4125417.0</v>
      </c>
      <c r="B120" s="20" t="s">
        <v>1654</v>
      </c>
      <c r="C120" s="21">
        <v>0.07</v>
      </c>
      <c r="D120" s="21">
        <v>0.08</v>
      </c>
      <c r="E120" s="21">
        <v>0.075</v>
      </c>
      <c r="F120" s="22">
        <v>4.0</v>
      </c>
      <c r="G120" s="23"/>
      <c r="H120" s="24" t="s">
        <v>1655</v>
      </c>
      <c r="I120" s="21" t="s">
        <v>1656</v>
      </c>
      <c r="J120" s="24" t="s">
        <v>1657</v>
      </c>
      <c r="K120" s="21" t="s">
        <v>1658</v>
      </c>
      <c r="L120" s="25" t="s">
        <v>1659</v>
      </c>
      <c r="M120" s="26" t="s">
        <v>28</v>
      </c>
      <c r="N120" s="24" t="s">
        <v>975</v>
      </c>
      <c r="O120" s="24" t="s">
        <v>1660</v>
      </c>
      <c r="P120" s="27"/>
      <c r="Q120" s="27"/>
      <c r="R120" s="28" t="s">
        <v>1661</v>
      </c>
      <c r="S120" s="8" t="s">
        <v>1662</v>
      </c>
      <c r="T120" s="29" t="s">
        <v>1656</v>
      </c>
      <c r="U120" s="24"/>
    </row>
    <row r="121">
      <c r="A121" s="30">
        <v>7.290000066264E12</v>
      </c>
      <c r="B121" s="20" t="s">
        <v>1126</v>
      </c>
      <c r="C121" s="21">
        <v>0.145</v>
      </c>
      <c r="D121" s="21">
        <v>0.189</v>
      </c>
      <c r="E121" s="21">
        <v>0.055</v>
      </c>
      <c r="F121" s="22">
        <v>5.0</v>
      </c>
      <c r="G121" s="23"/>
      <c r="H121" s="24" t="s">
        <v>1127</v>
      </c>
      <c r="I121" s="21" t="s">
        <v>1128</v>
      </c>
      <c r="J121" s="24" t="s">
        <v>1129</v>
      </c>
      <c r="K121" s="21" t="s">
        <v>1130</v>
      </c>
      <c r="L121" s="25" t="s">
        <v>1131</v>
      </c>
      <c r="M121" s="26" t="s">
        <v>37</v>
      </c>
      <c r="N121" s="24" t="s">
        <v>109</v>
      </c>
      <c r="O121" s="24" t="s">
        <v>380</v>
      </c>
      <c r="P121" s="27"/>
      <c r="Q121" s="27"/>
      <c r="R121" s="28" t="s">
        <v>1132</v>
      </c>
      <c r="S121" s="8" t="s">
        <v>1133</v>
      </c>
      <c r="T121" s="29" t="e">
        <v>#N/A</v>
      </c>
      <c r="U121" s="21" t="s">
        <v>113</v>
      </c>
    </row>
    <row r="122">
      <c r="A122" s="30">
        <v>7.290006653857E12</v>
      </c>
      <c r="B122" s="20" t="s">
        <v>1134</v>
      </c>
      <c r="C122" s="21">
        <v>0.145</v>
      </c>
      <c r="D122" s="21">
        <v>0.189</v>
      </c>
      <c r="E122" s="21">
        <v>0.055</v>
      </c>
      <c r="F122" s="22">
        <v>5.0</v>
      </c>
      <c r="G122" s="23"/>
      <c r="H122" s="24" t="s">
        <v>1127</v>
      </c>
      <c r="I122" s="21" t="s">
        <v>1128</v>
      </c>
      <c r="J122" s="24" t="s">
        <v>1135</v>
      </c>
      <c r="K122" s="21" t="s">
        <v>1136</v>
      </c>
      <c r="L122" s="25" t="s">
        <v>1137</v>
      </c>
      <c r="M122" s="26" t="s">
        <v>37</v>
      </c>
      <c r="N122" s="24" t="s">
        <v>109</v>
      </c>
      <c r="O122" s="24" t="s">
        <v>380</v>
      </c>
      <c r="P122" s="27"/>
      <c r="Q122" s="27"/>
      <c r="R122" s="28" t="s">
        <v>1138</v>
      </c>
      <c r="S122" s="8" t="s">
        <v>1139</v>
      </c>
      <c r="T122" s="29" t="e">
        <v>#N/A</v>
      </c>
      <c r="U122" s="21" t="s">
        <v>113</v>
      </c>
    </row>
    <row r="123">
      <c r="A123" s="30">
        <v>7.290106528628E12</v>
      </c>
      <c r="B123" s="20" t="s">
        <v>1116</v>
      </c>
      <c r="C123" s="21">
        <v>0.1675</v>
      </c>
      <c r="D123" s="21">
        <v>0.31</v>
      </c>
      <c r="E123" s="21">
        <v>0.07</v>
      </c>
      <c r="F123" s="22">
        <v>4.0</v>
      </c>
      <c r="G123" s="23"/>
      <c r="H123" s="24" t="s">
        <v>1089</v>
      </c>
      <c r="I123" s="21" t="s">
        <v>1090</v>
      </c>
      <c r="J123" s="24" t="s">
        <v>1117</v>
      </c>
      <c r="K123" s="21" t="s">
        <v>1118</v>
      </c>
      <c r="L123" s="25" t="s">
        <v>1119</v>
      </c>
      <c r="M123" s="26" t="s">
        <v>28</v>
      </c>
      <c r="N123" s="24" t="s">
        <v>109</v>
      </c>
      <c r="O123" s="24" t="s">
        <v>1094</v>
      </c>
      <c r="P123" s="27"/>
      <c r="Q123" s="27"/>
      <c r="R123" s="28" t="s">
        <v>1120</v>
      </c>
      <c r="S123" s="8" t="s">
        <v>1119</v>
      </c>
      <c r="T123" s="29" t="s">
        <v>1090</v>
      </c>
      <c r="U123" s="21" t="s">
        <v>113</v>
      </c>
    </row>
    <row r="124">
      <c r="A124" s="30">
        <v>7.29010085093E12</v>
      </c>
      <c r="B124" s="20" t="s">
        <v>1121</v>
      </c>
      <c r="C124" s="21">
        <v>0.133</v>
      </c>
      <c r="D124" s="21">
        <v>0.21</v>
      </c>
      <c r="E124" s="21">
        <v>0.05</v>
      </c>
      <c r="F124" s="22">
        <v>6.0</v>
      </c>
      <c r="G124" s="23"/>
      <c r="H124" s="24" t="s">
        <v>1089</v>
      </c>
      <c r="I124" s="21" t="s">
        <v>1090</v>
      </c>
      <c r="J124" s="24" t="s">
        <v>1122</v>
      </c>
      <c r="K124" s="21" t="s">
        <v>1123</v>
      </c>
      <c r="L124" s="25" t="s">
        <v>1124</v>
      </c>
      <c r="M124" s="26" t="s">
        <v>28</v>
      </c>
      <c r="N124" s="24" t="s">
        <v>109</v>
      </c>
      <c r="O124" s="24" t="s">
        <v>1094</v>
      </c>
      <c r="P124" s="27"/>
      <c r="Q124" s="27"/>
      <c r="R124" s="31" t="s">
        <v>1125</v>
      </c>
      <c r="S124" s="8" t="s">
        <v>1124</v>
      </c>
      <c r="T124" s="29" t="s">
        <v>1090</v>
      </c>
      <c r="U124" s="21" t="s">
        <v>113</v>
      </c>
    </row>
    <row r="125">
      <c r="A125" s="30">
        <v>7.290106528567E12</v>
      </c>
      <c r="B125" s="20" t="s">
        <v>1088</v>
      </c>
      <c r="C125" s="21">
        <v>0.1675</v>
      </c>
      <c r="D125" s="21">
        <v>0.31</v>
      </c>
      <c r="E125" s="21">
        <v>0.07</v>
      </c>
      <c r="F125" s="22">
        <v>4.0</v>
      </c>
      <c r="G125" s="23"/>
      <c r="H125" s="24" t="s">
        <v>1089</v>
      </c>
      <c r="I125" s="21" t="s">
        <v>1090</v>
      </c>
      <c r="J125" s="24" t="s">
        <v>1091</v>
      </c>
      <c r="K125" s="21" t="s">
        <v>1092</v>
      </c>
      <c r="L125" s="25" t="s">
        <v>1093</v>
      </c>
      <c r="M125" s="26" t="s">
        <v>28</v>
      </c>
      <c r="N125" s="24" t="s">
        <v>109</v>
      </c>
      <c r="O125" s="24" t="s">
        <v>1094</v>
      </c>
      <c r="P125" s="27"/>
      <c r="Q125" s="27"/>
      <c r="R125" s="31" t="s">
        <v>1095</v>
      </c>
      <c r="S125" s="8" t="s">
        <v>1093</v>
      </c>
      <c r="T125" s="29" t="s">
        <v>1090</v>
      </c>
      <c r="U125" s="21" t="s">
        <v>113</v>
      </c>
    </row>
    <row r="126">
      <c r="A126" s="30">
        <v>7.290100850923E12</v>
      </c>
      <c r="B126" s="20" t="s">
        <v>1096</v>
      </c>
      <c r="C126" s="21">
        <v>0.133</v>
      </c>
      <c r="D126" s="21">
        <v>0.21</v>
      </c>
      <c r="E126" s="21">
        <v>0.05</v>
      </c>
      <c r="F126" s="22">
        <v>6.0</v>
      </c>
      <c r="G126" s="23"/>
      <c r="H126" s="24" t="s">
        <v>1089</v>
      </c>
      <c r="I126" s="21" t="s">
        <v>1090</v>
      </c>
      <c r="J126" s="24" t="s">
        <v>1097</v>
      </c>
      <c r="K126" s="21" t="s">
        <v>1098</v>
      </c>
      <c r="L126" s="25" t="s">
        <v>1099</v>
      </c>
      <c r="M126" s="26" t="s">
        <v>28</v>
      </c>
      <c r="N126" s="24" t="s">
        <v>109</v>
      </c>
      <c r="O126" s="24" t="s">
        <v>1094</v>
      </c>
      <c r="P126" s="27"/>
      <c r="Q126" s="27"/>
      <c r="R126" s="28" t="s">
        <v>1100</v>
      </c>
      <c r="S126" s="8" t="s">
        <v>1099</v>
      </c>
      <c r="T126" s="29" t="s">
        <v>1090</v>
      </c>
      <c r="U126" s="21" t="s">
        <v>113</v>
      </c>
    </row>
    <row r="127">
      <c r="A127" s="30">
        <v>7.290106667266E12</v>
      </c>
      <c r="B127" s="20" t="s">
        <v>1106</v>
      </c>
      <c r="C127" s="21">
        <v>0.1675</v>
      </c>
      <c r="D127" s="21">
        <v>0.31</v>
      </c>
      <c r="E127" s="21">
        <v>0.07</v>
      </c>
      <c r="F127" s="22">
        <v>4.0</v>
      </c>
      <c r="G127" s="23"/>
      <c r="H127" s="24" t="s">
        <v>1089</v>
      </c>
      <c r="I127" s="21" t="s">
        <v>1090</v>
      </c>
      <c r="J127" s="24" t="s">
        <v>1107</v>
      </c>
      <c r="K127" s="21" t="s">
        <v>1108</v>
      </c>
      <c r="L127" s="25" t="s">
        <v>1109</v>
      </c>
      <c r="M127" s="26" t="s">
        <v>28</v>
      </c>
      <c r="N127" s="24" t="s">
        <v>109</v>
      </c>
      <c r="O127" s="24" t="s">
        <v>1094</v>
      </c>
      <c r="P127" s="27"/>
      <c r="Q127" s="27"/>
      <c r="R127" s="28" t="s">
        <v>1110</v>
      </c>
      <c r="S127" s="33" t="s">
        <v>1109</v>
      </c>
      <c r="T127" s="29" t="s">
        <v>1090</v>
      </c>
      <c r="U127" s="21" t="s">
        <v>113</v>
      </c>
    </row>
    <row r="128">
      <c r="A128" s="30">
        <v>7.290100850916E12</v>
      </c>
      <c r="B128" s="20" t="s">
        <v>1111</v>
      </c>
      <c r="C128" s="21">
        <v>0.133</v>
      </c>
      <c r="D128" s="21">
        <v>0.21</v>
      </c>
      <c r="E128" s="21">
        <v>0.05</v>
      </c>
      <c r="F128" s="22">
        <v>6.0</v>
      </c>
      <c r="G128" s="23"/>
      <c r="H128" s="24" t="s">
        <v>1089</v>
      </c>
      <c r="I128" s="21" t="s">
        <v>1090</v>
      </c>
      <c r="J128" s="24" t="s">
        <v>1112</v>
      </c>
      <c r="K128" s="21" t="s">
        <v>1113</v>
      </c>
      <c r="L128" s="25" t="s">
        <v>1114</v>
      </c>
      <c r="M128" s="26" t="s">
        <v>28</v>
      </c>
      <c r="N128" s="24" t="s">
        <v>109</v>
      </c>
      <c r="O128" s="24" t="s">
        <v>1094</v>
      </c>
      <c r="P128" s="27"/>
      <c r="Q128" s="27"/>
      <c r="R128" s="28" t="s">
        <v>1115</v>
      </c>
      <c r="S128" s="8" t="s">
        <v>1114</v>
      </c>
      <c r="T128" s="29" t="s">
        <v>1090</v>
      </c>
      <c r="U128" s="21" t="s">
        <v>113</v>
      </c>
    </row>
    <row r="129">
      <c r="A129" s="30">
        <v>7.290010117864E12</v>
      </c>
      <c r="B129" s="20" t="s">
        <v>1101</v>
      </c>
      <c r="C129" s="21">
        <v>0.133</v>
      </c>
      <c r="D129" s="21">
        <v>0.21</v>
      </c>
      <c r="E129" s="21">
        <v>0.05</v>
      </c>
      <c r="F129" s="22">
        <v>6.0</v>
      </c>
      <c r="G129" s="23"/>
      <c r="H129" s="24" t="s">
        <v>1089</v>
      </c>
      <c r="I129" s="21" t="s">
        <v>1090</v>
      </c>
      <c r="J129" s="24" t="s">
        <v>1102</v>
      </c>
      <c r="K129" s="21" t="s">
        <v>1103</v>
      </c>
      <c r="L129" s="25" t="s">
        <v>1104</v>
      </c>
      <c r="M129" s="26" t="s">
        <v>28</v>
      </c>
      <c r="N129" s="24" t="s">
        <v>109</v>
      </c>
      <c r="O129" s="24" t="s">
        <v>1094</v>
      </c>
      <c r="P129" s="27"/>
      <c r="Q129" s="27"/>
      <c r="R129" s="28" t="s">
        <v>1105</v>
      </c>
      <c r="S129" s="8" t="s">
        <v>1104</v>
      </c>
      <c r="T129" s="29" t="s">
        <v>1090</v>
      </c>
      <c r="U129" s="21" t="s">
        <v>113</v>
      </c>
    </row>
    <row r="130">
      <c r="A130" s="30">
        <v>7.290112330352E12</v>
      </c>
      <c r="B130" s="20" t="s">
        <v>1054</v>
      </c>
      <c r="C130" s="21">
        <v>0.073</v>
      </c>
      <c r="D130" s="21">
        <v>0.072</v>
      </c>
      <c r="E130" s="21">
        <v>0.075</v>
      </c>
      <c r="F130" s="22">
        <v>4.0</v>
      </c>
      <c r="G130" s="23"/>
      <c r="H130" s="24" t="s">
        <v>1016</v>
      </c>
      <c r="I130" s="21" t="s">
        <v>1017</v>
      </c>
      <c r="J130" s="24" t="s">
        <v>1055</v>
      </c>
      <c r="K130" s="21" t="s">
        <v>1056</v>
      </c>
      <c r="L130" s="25" t="s">
        <v>1057</v>
      </c>
      <c r="M130" s="26" t="s">
        <v>28</v>
      </c>
      <c r="N130" s="24" t="s">
        <v>1021</v>
      </c>
      <c r="O130" s="24" t="s">
        <v>1058</v>
      </c>
      <c r="P130" s="27"/>
      <c r="Q130" s="27"/>
      <c r="R130" s="28" t="s">
        <v>1059</v>
      </c>
      <c r="S130" s="33" t="s">
        <v>1060</v>
      </c>
      <c r="T130" s="29" t="s">
        <v>1025</v>
      </c>
      <c r="U130" s="24"/>
    </row>
    <row r="131">
      <c r="A131" s="30">
        <v>408354.0</v>
      </c>
      <c r="B131" s="20" t="s">
        <v>1026</v>
      </c>
      <c r="C131" s="21">
        <v>0.13</v>
      </c>
      <c r="D131" s="21">
        <v>0.075</v>
      </c>
      <c r="E131" s="21">
        <v>0.045</v>
      </c>
      <c r="F131" s="22">
        <v>7.0</v>
      </c>
      <c r="G131" s="23"/>
      <c r="H131" s="24" t="s">
        <v>1016</v>
      </c>
      <c r="I131" s="21" t="s">
        <v>1017</v>
      </c>
      <c r="J131" s="24" t="s">
        <v>1027</v>
      </c>
      <c r="K131" s="21" t="s">
        <v>1028</v>
      </c>
      <c r="L131" s="25" t="s">
        <v>1029</v>
      </c>
      <c r="M131" s="26" t="s">
        <v>28</v>
      </c>
      <c r="N131" s="24" t="s">
        <v>1021</v>
      </c>
      <c r="O131" s="24" t="s">
        <v>1022</v>
      </c>
      <c r="P131" s="27"/>
      <c r="Q131" s="27"/>
      <c r="R131" s="28" t="s">
        <v>1030</v>
      </c>
      <c r="S131" s="8" t="s">
        <v>1031</v>
      </c>
      <c r="T131" s="29" t="s">
        <v>1017</v>
      </c>
      <c r="U131" s="24"/>
    </row>
    <row r="132">
      <c r="A132" s="30">
        <v>3321155.0</v>
      </c>
      <c r="B132" s="20" t="s">
        <v>1048</v>
      </c>
      <c r="C132" s="21">
        <v>0.13</v>
      </c>
      <c r="D132" s="21">
        <v>0.075</v>
      </c>
      <c r="E132" s="21">
        <v>0.045</v>
      </c>
      <c r="F132" s="22">
        <v>7.0</v>
      </c>
      <c r="G132" s="23"/>
      <c r="H132" s="24" t="s">
        <v>1016</v>
      </c>
      <c r="I132" s="21" t="s">
        <v>1017</v>
      </c>
      <c r="J132" s="24" t="s">
        <v>1049</v>
      </c>
      <c r="K132" s="21" t="s">
        <v>1050</v>
      </c>
      <c r="L132" s="25" t="s">
        <v>1051</v>
      </c>
      <c r="M132" s="26" t="s">
        <v>28</v>
      </c>
      <c r="N132" s="24" t="s">
        <v>1021</v>
      </c>
      <c r="O132" s="24" t="s">
        <v>1022</v>
      </c>
      <c r="P132" s="27"/>
      <c r="Q132" s="27"/>
      <c r="R132" s="28" t="s">
        <v>1052</v>
      </c>
      <c r="S132" s="8" t="s">
        <v>1053</v>
      </c>
      <c r="T132" s="29" t="s">
        <v>1017</v>
      </c>
      <c r="U132" s="24"/>
    </row>
    <row r="133">
      <c r="A133" s="30">
        <v>7.290110566975E12</v>
      </c>
      <c r="B133" s="20" t="s">
        <v>1015</v>
      </c>
      <c r="C133" s="21">
        <v>0.073</v>
      </c>
      <c r="D133" s="21">
        <v>0.07</v>
      </c>
      <c r="E133" s="21">
        <v>0.095</v>
      </c>
      <c r="F133" s="22">
        <v>3.0</v>
      </c>
      <c r="G133" s="23"/>
      <c r="H133" s="24" t="s">
        <v>1016</v>
      </c>
      <c r="I133" s="21" t="s">
        <v>1017</v>
      </c>
      <c r="J133" s="24" t="s">
        <v>1018</v>
      </c>
      <c r="K133" s="21" t="s">
        <v>1019</v>
      </c>
      <c r="L133" s="25" t="s">
        <v>1020</v>
      </c>
      <c r="M133" s="26" t="s">
        <v>28</v>
      </c>
      <c r="N133" s="24" t="s">
        <v>1021</v>
      </c>
      <c r="O133" s="24" t="s">
        <v>1022</v>
      </c>
      <c r="P133" s="27"/>
      <c r="Q133" s="27"/>
      <c r="R133" s="28" t="s">
        <v>1023</v>
      </c>
      <c r="S133" s="8" t="s">
        <v>1024</v>
      </c>
      <c r="T133" s="29" t="s">
        <v>1025</v>
      </c>
      <c r="U133" s="24"/>
    </row>
    <row r="134">
      <c r="A134" s="30">
        <v>408316.0</v>
      </c>
      <c r="B134" s="20" t="s">
        <v>1032</v>
      </c>
      <c r="C134" s="21">
        <v>0.073</v>
      </c>
      <c r="D134" s="21">
        <v>0.09</v>
      </c>
      <c r="E134" s="21">
        <v>0.065</v>
      </c>
      <c r="F134" s="22">
        <v>5.0</v>
      </c>
      <c r="G134" s="23"/>
      <c r="H134" s="24" t="s">
        <v>1016</v>
      </c>
      <c r="I134" s="21" t="s">
        <v>1017</v>
      </c>
      <c r="J134" s="24" t="s">
        <v>1033</v>
      </c>
      <c r="K134" s="21" t="s">
        <v>1034</v>
      </c>
      <c r="L134" s="25" t="s">
        <v>1035</v>
      </c>
      <c r="M134" s="26" t="s">
        <v>28</v>
      </c>
      <c r="N134" s="24" t="s">
        <v>1021</v>
      </c>
      <c r="O134" s="24" t="s">
        <v>1036</v>
      </c>
      <c r="P134" s="27"/>
      <c r="Q134" s="27"/>
      <c r="R134" s="28" t="s">
        <v>1037</v>
      </c>
      <c r="S134" s="8" t="s">
        <v>1038</v>
      </c>
      <c r="T134" s="29" t="s">
        <v>1039</v>
      </c>
      <c r="U134" s="24"/>
    </row>
    <row r="135">
      <c r="A135" s="30">
        <v>4584528.0</v>
      </c>
      <c r="B135" s="20" t="s">
        <v>1082</v>
      </c>
      <c r="C135" s="21">
        <v>0.073</v>
      </c>
      <c r="D135" s="21">
        <v>0.09</v>
      </c>
      <c r="E135" s="21">
        <v>0.075</v>
      </c>
      <c r="F135" s="22">
        <v>4.0</v>
      </c>
      <c r="G135" s="23"/>
      <c r="H135" s="24" t="s">
        <v>1016</v>
      </c>
      <c r="I135" s="21" t="s">
        <v>1017</v>
      </c>
      <c r="J135" s="24" t="s">
        <v>1083</v>
      </c>
      <c r="K135" s="21" t="s">
        <v>1084</v>
      </c>
      <c r="L135" s="25" t="s">
        <v>1085</v>
      </c>
      <c r="M135" s="26" t="s">
        <v>28</v>
      </c>
      <c r="N135" s="24" t="s">
        <v>1021</v>
      </c>
      <c r="O135" s="24" t="s">
        <v>1036</v>
      </c>
      <c r="P135" s="27"/>
      <c r="Q135" s="27"/>
      <c r="R135" s="28" t="s">
        <v>1086</v>
      </c>
      <c r="S135" s="8" t="s">
        <v>1087</v>
      </c>
      <c r="T135" s="29" t="s">
        <v>1039</v>
      </c>
      <c r="U135" s="24"/>
    </row>
    <row r="136">
      <c r="A136" s="30">
        <v>7.290110565527E12</v>
      </c>
      <c r="B136" s="20" t="s">
        <v>1068</v>
      </c>
      <c r="C136" s="21">
        <v>0.073</v>
      </c>
      <c r="D136" s="21">
        <v>0.07</v>
      </c>
      <c r="E136" s="21">
        <v>0.075</v>
      </c>
      <c r="F136" s="22">
        <v>4.0</v>
      </c>
      <c r="G136" s="23"/>
      <c r="H136" s="24" t="s">
        <v>1016</v>
      </c>
      <c r="I136" s="21" t="s">
        <v>1017</v>
      </c>
      <c r="J136" s="24" t="s">
        <v>1069</v>
      </c>
      <c r="K136" s="21" t="s">
        <v>1070</v>
      </c>
      <c r="L136" s="25" t="s">
        <v>1071</v>
      </c>
      <c r="M136" s="26" t="s">
        <v>28</v>
      </c>
      <c r="N136" s="24" t="s">
        <v>1021</v>
      </c>
      <c r="O136" s="24" t="s">
        <v>1036</v>
      </c>
      <c r="P136" s="27"/>
      <c r="Q136" s="27"/>
      <c r="R136" s="28" t="s">
        <v>1072</v>
      </c>
      <c r="S136" s="8" t="s">
        <v>1073</v>
      </c>
      <c r="T136" s="29" t="s">
        <v>1025</v>
      </c>
      <c r="U136" s="24"/>
    </row>
    <row r="137">
      <c r="A137" s="30">
        <v>7.290110568276E12</v>
      </c>
      <c r="B137" s="20" t="s">
        <v>1074</v>
      </c>
      <c r="C137" s="21">
        <v>0.062</v>
      </c>
      <c r="D137" s="21">
        <v>0.173</v>
      </c>
      <c r="E137" s="21">
        <v>0.062</v>
      </c>
      <c r="F137" s="22">
        <v>5.0</v>
      </c>
      <c r="G137" s="23"/>
      <c r="H137" s="24" t="s">
        <v>1016</v>
      </c>
      <c r="I137" s="21" t="s">
        <v>1017</v>
      </c>
      <c r="J137" s="24" t="s">
        <v>1075</v>
      </c>
      <c r="K137" s="21" t="s">
        <v>1076</v>
      </c>
      <c r="L137" s="25" t="s">
        <v>1077</v>
      </c>
      <c r="M137" s="26" t="s">
        <v>28</v>
      </c>
      <c r="N137" s="24" t="s">
        <v>700</v>
      </c>
      <c r="O137" s="24" t="s">
        <v>1078</v>
      </c>
      <c r="P137" s="27"/>
      <c r="Q137" s="27"/>
      <c r="R137" s="31" t="s">
        <v>1079</v>
      </c>
      <c r="S137" s="8" t="s">
        <v>1080</v>
      </c>
      <c r="T137" s="29" t="s">
        <v>1081</v>
      </c>
      <c r="U137" s="24"/>
    </row>
    <row r="138">
      <c r="A138" s="30">
        <v>7.290105965738E12</v>
      </c>
      <c r="B138" s="20" t="s">
        <v>1040</v>
      </c>
      <c r="C138" s="21">
        <v>0.06</v>
      </c>
      <c r="D138" s="21">
        <v>0.155</v>
      </c>
      <c r="E138" s="21">
        <v>0.06</v>
      </c>
      <c r="F138" s="22">
        <v>5.0</v>
      </c>
      <c r="G138" s="23"/>
      <c r="H138" s="24" t="s">
        <v>1016</v>
      </c>
      <c r="I138" s="21" t="s">
        <v>1017</v>
      </c>
      <c r="J138" s="24" t="s">
        <v>1041</v>
      </c>
      <c r="K138" s="21" t="s">
        <v>1042</v>
      </c>
      <c r="L138" s="25" t="s">
        <v>1043</v>
      </c>
      <c r="M138" s="26" t="s">
        <v>28</v>
      </c>
      <c r="N138" s="24" t="s">
        <v>1021</v>
      </c>
      <c r="O138" s="24" t="s">
        <v>1044</v>
      </c>
      <c r="P138" s="27"/>
      <c r="Q138" s="27"/>
      <c r="R138" s="28" t="s">
        <v>1045</v>
      </c>
      <c r="S138" s="8" t="s">
        <v>1046</v>
      </c>
      <c r="T138" s="29" t="s">
        <v>1047</v>
      </c>
      <c r="U138" s="24"/>
    </row>
    <row r="139">
      <c r="A139" s="30">
        <v>7.290112346698E12</v>
      </c>
      <c r="B139" s="20" t="s">
        <v>1061</v>
      </c>
      <c r="C139" s="21">
        <v>0.073</v>
      </c>
      <c r="D139" s="21">
        <v>0.155</v>
      </c>
      <c r="E139" s="21">
        <v>0.075</v>
      </c>
      <c r="F139" s="22">
        <v>4.0</v>
      </c>
      <c r="G139" s="23"/>
      <c r="H139" s="24" t="s">
        <v>1016</v>
      </c>
      <c r="I139" s="21" t="s">
        <v>1017</v>
      </c>
      <c r="J139" s="24" t="s">
        <v>1062</v>
      </c>
      <c r="K139" s="21" t="s">
        <v>1063</v>
      </c>
      <c r="L139" s="25" t="s">
        <v>1064</v>
      </c>
      <c r="M139" s="26" t="s">
        <v>28</v>
      </c>
      <c r="N139" s="24" t="s">
        <v>1021</v>
      </c>
      <c r="O139" s="24" t="s">
        <v>1044</v>
      </c>
      <c r="P139" s="27"/>
      <c r="Q139" s="27"/>
      <c r="R139" s="28" t="s">
        <v>1065</v>
      </c>
      <c r="S139" s="8" t="s">
        <v>1066</v>
      </c>
      <c r="T139" s="29" t="s">
        <v>1067</v>
      </c>
      <c r="U139" s="24"/>
    </row>
    <row r="140">
      <c r="A140" s="30">
        <v>5838002.0</v>
      </c>
      <c r="B140" s="20" t="s">
        <v>1005</v>
      </c>
      <c r="C140" s="21">
        <v>0.075</v>
      </c>
      <c r="D140" s="21">
        <v>0.061</v>
      </c>
      <c r="E140" s="21">
        <v>0.125</v>
      </c>
      <c r="F140" s="22">
        <v>2.0</v>
      </c>
      <c r="G140" s="23"/>
      <c r="H140" s="24" t="s">
        <v>1006</v>
      </c>
      <c r="I140" s="21" t="s">
        <v>1007</v>
      </c>
      <c r="J140" s="24" t="s">
        <v>1008</v>
      </c>
      <c r="K140" s="21" t="s">
        <v>1009</v>
      </c>
      <c r="L140" s="25" t="s">
        <v>1010</v>
      </c>
      <c r="M140" s="26" t="s">
        <v>28</v>
      </c>
      <c r="N140" s="24" t="s">
        <v>1011</v>
      </c>
      <c r="O140" s="24" t="s">
        <v>1012</v>
      </c>
      <c r="P140" s="27"/>
      <c r="Q140" s="27"/>
      <c r="R140" s="31" t="s">
        <v>1013</v>
      </c>
      <c r="S140" s="33" t="s">
        <v>1014</v>
      </c>
      <c r="T140" s="29" t="s">
        <v>1007</v>
      </c>
      <c r="U140" s="24"/>
    </row>
    <row r="141">
      <c r="A141" s="30">
        <v>7.290014761056E12</v>
      </c>
      <c r="B141" s="20" t="s">
        <v>4967</v>
      </c>
      <c r="C141" s="21">
        <v>0.063</v>
      </c>
      <c r="D141" s="21">
        <v>0.067</v>
      </c>
      <c r="E141" s="21">
        <v>0.063</v>
      </c>
      <c r="F141" s="22">
        <v>2.0</v>
      </c>
      <c r="G141" s="23"/>
      <c r="H141" s="24" t="s">
        <v>4955</v>
      </c>
      <c r="I141" s="21" t="s">
        <v>4956</v>
      </c>
      <c r="J141" s="24" t="s">
        <v>4968</v>
      </c>
      <c r="K141" s="21" t="s">
        <v>4969</v>
      </c>
      <c r="L141" s="25" t="s">
        <v>4970</v>
      </c>
      <c r="M141" s="26" t="s">
        <v>37</v>
      </c>
      <c r="N141" s="24" t="s">
        <v>1011</v>
      </c>
      <c r="O141" s="24"/>
      <c r="P141" s="27"/>
      <c r="Q141" s="27"/>
      <c r="R141" s="28"/>
      <c r="S141" s="8"/>
      <c r="T141" s="29"/>
      <c r="U141" s="21"/>
    </row>
    <row r="142">
      <c r="A142" s="30">
        <v>7.290014761063E12</v>
      </c>
      <c r="B142" s="20" t="s">
        <v>4954</v>
      </c>
      <c r="C142" s="21">
        <v>0.063</v>
      </c>
      <c r="D142" s="21">
        <v>0.067</v>
      </c>
      <c r="E142" s="21">
        <v>0.063</v>
      </c>
      <c r="F142" s="22">
        <v>2.0</v>
      </c>
      <c r="G142" s="23"/>
      <c r="H142" s="24" t="s">
        <v>4955</v>
      </c>
      <c r="I142" s="21" t="s">
        <v>4956</v>
      </c>
      <c r="J142" s="24" t="s">
        <v>4957</v>
      </c>
      <c r="K142" s="21" t="s">
        <v>4958</v>
      </c>
      <c r="L142" s="25" t="s">
        <v>4959</v>
      </c>
      <c r="M142" s="26" t="s">
        <v>37</v>
      </c>
      <c r="N142" s="24" t="s">
        <v>1011</v>
      </c>
      <c r="O142" s="24"/>
      <c r="P142" s="27"/>
      <c r="Q142" s="27"/>
      <c r="R142" s="28"/>
      <c r="S142" s="8"/>
      <c r="T142" s="29"/>
      <c r="U142" s="21"/>
    </row>
    <row r="143">
      <c r="A143" s="30">
        <v>44712.0</v>
      </c>
      <c r="B143" s="20" t="s">
        <v>3835</v>
      </c>
      <c r="C143" s="21"/>
      <c r="D143" s="21"/>
      <c r="E143" s="21"/>
      <c r="F143" s="22"/>
      <c r="G143" s="23"/>
      <c r="H143" s="24" t="s">
        <v>3836</v>
      </c>
      <c r="I143" s="21" t="s">
        <v>3837</v>
      </c>
      <c r="J143" s="24" t="s">
        <v>3838</v>
      </c>
      <c r="K143" s="21" t="s">
        <v>5184</v>
      </c>
      <c r="L143" s="25" t="s">
        <v>3840</v>
      </c>
      <c r="M143" s="26" t="s">
        <v>37</v>
      </c>
      <c r="N143" s="24" t="s">
        <v>1011</v>
      </c>
      <c r="O143" s="24"/>
      <c r="P143" s="27"/>
      <c r="Q143" s="27"/>
      <c r="R143" s="28"/>
      <c r="S143" s="8"/>
      <c r="T143" s="29"/>
      <c r="U143" s="21"/>
    </row>
    <row r="144">
      <c r="A144" s="30">
        <v>7.290008166775E12</v>
      </c>
      <c r="B144" s="20" t="s">
        <v>1806</v>
      </c>
      <c r="C144" s="21">
        <v>0.12</v>
      </c>
      <c r="D144" s="21">
        <v>0.18</v>
      </c>
      <c r="E144" s="21">
        <v>0.03</v>
      </c>
      <c r="F144" s="22">
        <v>10.0</v>
      </c>
      <c r="G144" s="23"/>
      <c r="H144" s="24" t="s">
        <v>1789</v>
      </c>
      <c r="I144" s="21" t="s">
        <v>1790</v>
      </c>
      <c r="J144" s="24" t="s">
        <v>1807</v>
      </c>
      <c r="K144" s="21" t="s">
        <v>1808</v>
      </c>
      <c r="L144" s="25" t="s">
        <v>1809</v>
      </c>
      <c r="M144" s="26" t="s">
        <v>37</v>
      </c>
      <c r="N144" s="24" t="s">
        <v>1794</v>
      </c>
      <c r="O144" s="24" t="s">
        <v>1810</v>
      </c>
      <c r="P144" s="27"/>
      <c r="Q144" s="27"/>
      <c r="R144" s="28" t="s">
        <v>1811</v>
      </c>
      <c r="S144" s="8" t="s">
        <v>1812</v>
      </c>
      <c r="T144" s="29" t="e">
        <v>#N/A</v>
      </c>
      <c r="U144" s="21" t="s">
        <v>1798</v>
      </c>
    </row>
    <row r="145">
      <c r="A145" s="30">
        <v>7.290004532581E12</v>
      </c>
      <c r="B145" s="20" t="s">
        <v>1844</v>
      </c>
      <c r="C145" s="21">
        <v>0.12</v>
      </c>
      <c r="D145" s="21">
        <v>0.18</v>
      </c>
      <c r="E145" s="21">
        <v>0.03</v>
      </c>
      <c r="F145" s="22">
        <v>10.0</v>
      </c>
      <c r="G145" s="23"/>
      <c r="H145" s="24" t="s">
        <v>1789</v>
      </c>
      <c r="I145" s="21" t="s">
        <v>1790</v>
      </c>
      <c r="J145" s="24" t="s">
        <v>1845</v>
      </c>
      <c r="K145" s="21" t="s">
        <v>1846</v>
      </c>
      <c r="L145" s="25" t="s">
        <v>1847</v>
      </c>
      <c r="M145" s="26" t="s">
        <v>37</v>
      </c>
      <c r="N145" s="24" t="s">
        <v>1794</v>
      </c>
      <c r="O145" s="24" t="s">
        <v>1810</v>
      </c>
      <c r="P145" s="27"/>
      <c r="Q145" s="27"/>
      <c r="R145" s="28" t="s">
        <v>1848</v>
      </c>
      <c r="S145" s="8" t="s">
        <v>1849</v>
      </c>
      <c r="T145" s="29" t="e">
        <v>#N/A</v>
      </c>
      <c r="U145" s="21" t="s">
        <v>1798</v>
      </c>
    </row>
    <row r="146">
      <c r="A146" s="30">
        <v>7.29000453213E12</v>
      </c>
      <c r="B146" s="20" t="s">
        <v>1850</v>
      </c>
      <c r="C146" s="21">
        <v>0.12</v>
      </c>
      <c r="D146" s="21">
        <v>0.18</v>
      </c>
      <c r="E146" s="21">
        <v>0.03</v>
      </c>
      <c r="F146" s="22">
        <v>10.0</v>
      </c>
      <c r="G146" s="23"/>
      <c r="H146" s="24" t="s">
        <v>1789</v>
      </c>
      <c r="I146" s="21" t="s">
        <v>1790</v>
      </c>
      <c r="J146" s="24" t="s">
        <v>1851</v>
      </c>
      <c r="K146" s="21" t="s">
        <v>1852</v>
      </c>
      <c r="L146" s="25" t="s">
        <v>1853</v>
      </c>
      <c r="M146" s="26" t="s">
        <v>37</v>
      </c>
      <c r="N146" s="24" t="s">
        <v>1794</v>
      </c>
      <c r="O146" s="24" t="s">
        <v>1854</v>
      </c>
      <c r="P146" s="27"/>
      <c r="Q146" s="27"/>
      <c r="R146" s="31" t="s">
        <v>1855</v>
      </c>
      <c r="S146" s="33" t="s">
        <v>1856</v>
      </c>
      <c r="T146" s="29" t="e">
        <v>#N/A</v>
      </c>
      <c r="U146" s="21" t="s">
        <v>1798</v>
      </c>
    </row>
    <row r="147">
      <c r="A147" s="30">
        <v>7.290004532062E12</v>
      </c>
      <c r="B147" s="20" t="s">
        <v>1857</v>
      </c>
      <c r="C147" s="21">
        <v>0.12</v>
      </c>
      <c r="D147" s="21">
        <v>0.18</v>
      </c>
      <c r="E147" s="21">
        <v>0.03</v>
      </c>
      <c r="F147" s="22">
        <v>10.0</v>
      </c>
      <c r="G147" s="23"/>
      <c r="H147" s="24" t="s">
        <v>1789</v>
      </c>
      <c r="I147" s="21" t="s">
        <v>1790</v>
      </c>
      <c r="J147" s="24" t="s">
        <v>1858</v>
      </c>
      <c r="K147" s="21" t="s">
        <v>1859</v>
      </c>
      <c r="L147" s="25" t="s">
        <v>1860</v>
      </c>
      <c r="M147" s="26" t="s">
        <v>37</v>
      </c>
      <c r="N147" s="24" t="s">
        <v>1794</v>
      </c>
      <c r="O147" s="24" t="s">
        <v>1861</v>
      </c>
      <c r="P147" s="27"/>
      <c r="Q147" s="27"/>
      <c r="R147" s="28" t="s">
        <v>1862</v>
      </c>
      <c r="S147" s="8" t="s">
        <v>1863</v>
      </c>
      <c r="T147" s="29" t="e">
        <v>#N/A</v>
      </c>
      <c r="U147" s="21" t="s">
        <v>1798</v>
      </c>
    </row>
    <row r="148">
      <c r="A148" s="30">
        <v>7.290004532574E12</v>
      </c>
      <c r="B148" s="20" t="s">
        <v>1799</v>
      </c>
      <c r="C148" s="21">
        <v>0.12</v>
      </c>
      <c r="D148" s="21">
        <v>0.18</v>
      </c>
      <c r="E148" s="21">
        <v>0.03</v>
      </c>
      <c r="F148" s="22">
        <v>10.0</v>
      </c>
      <c r="G148" s="23"/>
      <c r="H148" s="24" t="s">
        <v>1789</v>
      </c>
      <c r="I148" s="21" t="s">
        <v>1790</v>
      </c>
      <c r="J148" s="24" t="s">
        <v>1800</v>
      </c>
      <c r="K148" s="21" t="s">
        <v>1801</v>
      </c>
      <c r="L148" s="25" t="s">
        <v>1802</v>
      </c>
      <c r="M148" s="26" t="s">
        <v>37</v>
      </c>
      <c r="N148" s="24" t="s">
        <v>1794</v>
      </c>
      <c r="O148" s="24" t="s">
        <v>1803</v>
      </c>
      <c r="P148" s="27"/>
      <c r="Q148" s="27"/>
      <c r="R148" s="28" t="s">
        <v>1804</v>
      </c>
      <c r="S148" s="8" t="s">
        <v>1805</v>
      </c>
      <c r="T148" s="29" t="e">
        <v>#N/A</v>
      </c>
      <c r="U148" s="21" t="s">
        <v>1798</v>
      </c>
    </row>
    <row r="149">
      <c r="A149" s="30">
        <v>7.290004532123E12</v>
      </c>
      <c r="B149" s="20" t="s">
        <v>1824</v>
      </c>
      <c r="C149" s="21">
        <v>0.12</v>
      </c>
      <c r="D149" s="21">
        <v>0.18</v>
      </c>
      <c r="E149" s="21">
        <v>0.03</v>
      </c>
      <c r="F149" s="22">
        <v>10.0</v>
      </c>
      <c r="G149" s="23"/>
      <c r="H149" s="24" t="s">
        <v>1789</v>
      </c>
      <c r="I149" s="21" t="s">
        <v>1790</v>
      </c>
      <c r="J149" s="24" t="s">
        <v>1825</v>
      </c>
      <c r="K149" s="21" t="s">
        <v>1826</v>
      </c>
      <c r="L149" s="25" t="s">
        <v>1827</v>
      </c>
      <c r="M149" s="26" t="s">
        <v>37</v>
      </c>
      <c r="N149" s="24" t="s">
        <v>1794</v>
      </c>
      <c r="O149" s="24" t="s">
        <v>1828</v>
      </c>
      <c r="P149" s="27"/>
      <c r="Q149" s="27"/>
      <c r="R149" s="28" t="s">
        <v>1829</v>
      </c>
      <c r="S149" s="8" t="s">
        <v>1830</v>
      </c>
      <c r="T149" s="29" t="e">
        <v>#N/A</v>
      </c>
      <c r="U149" s="21" t="s">
        <v>1798</v>
      </c>
    </row>
    <row r="150">
      <c r="A150" s="30">
        <v>7.29000014838E12</v>
      </c>
      <c r="B150" s="20" t="s">
        <v>2276</v>
      </c>
      <c r="C150" s="21">
        <v>0.14</v>
      </c>
      <c r="D150" s="21">
        <v>0.19</v>
      </c>
      <c r="E150" s="21">
        <v>0.02</v>
      </c>
      <c r="F150" s="22">
        <v>15.0</v>
      </c>
      <c r="G150" s="23"/>
      <c r="H150" s="24" t="s">
        <v>2197</v>
      </c>
      <c r="I150" s="21" t="s">
        <v>2198</v>
      </c>
      <c r="J150" s="24" t="s">
        <v>2277</v>
      </c>
      <c r="K150" s="21" t="s">
        <v>2278</v>
      </c>
      <c r="L150" s="25" t="s">
        <v>2279</v>
      </c>
      <c r="M150" s="26" t="s">
        <v>37</v>
      </c>
      <c r="N150" s="24" t="s">
        <v>1794</v>
      </c>
      <c r="O150" s="24" t="s">
        <v>1828</v>
      </c>
      <c r="P150" s="27"/>
      <c r="Q150" s="27"/>
      <c r="R150" s="28" t="s">
        <v>2280</v>
      </c>
      <c r="S150" s="8" t="s">
        <v>2281</v>
      </c>
      <c r="T150" s="29" t="e">
        <v>#N/A</v>
      </c>
      <c r="U150" s="21" t="s">
        <v>1798</v>
      </c>
    </row>
    <row r="151">
      <c r="A151" s="30">
        <v>7.290004532086E12</v>
      </c>
      <c r="B151" s="20" t="s">
        <v>1837</v>
      </c>
      <c r="C151" s="21">
        <v>0.12</v>
      </c>
      <c r="D151" s="21">
        <v>0.18</v>
      </c>
      <c r="E151" s="21">
        <v>0.03</v>
      </c>
      <c r="F151" s="22">
        <v>10.0</v>
      </c>
      <c r="G151" s="23"/>
      <c r="H151" s="24" t="s">
        <v>1789</v>
      </c>
      <c r="I151" s="21" t="s">
        <v>1790</v>
      </c>
      <c r="J151" s="24" t="s">
        <v>1838</v>
      </c>
      <c r="K151" s="21" t="s">
        <v>1839</v>
      </c>
      <c r="L151" s="25" t="s">
        <v>1840</v>
      </c>
      <c r="M151" s="26" t="s">
        <v>37</v>
      </c>
      <c r="N151" s="24" t="s">
        <v>1794</v>
      </c>
      <c r="O151" s="24" t="s">
        <v>1841</v>
      </c>
      <c r="P151" s="27"/>
      <c r="Q151" s="27"/>
      <c r="R151" s="31" t="s">
        <v>1842</v>
      </c>
      <c r="S151" s="33" t="s">
        <v>1843</v>
      </c>
      <c r="T151" s="29" t="e">
        <v>#N/A</v>
      </c>
      <c r="U151" s="21" t="s">
        <v>1798</v>
      </c>
    </row>
    <row r="152">
      <c r="A152" s="30">
        <v>7.290004532161E12</v>
      </c>
      <c r="B152" s="20" t="s">
        <v>1788</v>
      </c>
      <c r="C152" s="21">
        <v>0.12</v>
      </c>
      <c r="D152" s="21">
        <v>0.18</v>
      </c>
      <c r="E152" s="21">
        <v>0.03</v>
      </c>
      <c r="F152" s="22">
        <v>10.0</v>
      </c>
      <c r="G152" s="23"/>
      <c r="H152" s="24" t="s">
        <v>1789</v>
      </c>
      <c r="I152" s="21" t="s">
        <v>1790</v>
      </c>
      <c r="J152" s="24" t="s">
        <v>1791</v>
      </c>
      <c r="K152" s="21" t="s">
        <v>1792</v>
      </c>
      <c r="L152" s="25" t="s">
        <v>1793</v>
      </c>
      <c r="M152" s="26" t="s">
        <v>37</v>
      </c>
      <c r="N152" s="24" t="s">
        <v>1794</v>
      </c>
      <c r="O152" s="24" t="s">
        <v>1795</v>
      </c>
      <c r="P152" s="27"/>
      <c r="Q152" s="27"/>
      <c r="R152" s="28" t="s">
        <v>1796</v>
      </c>
      <c r="S152" s="8" t="s">
        <v>1797</v>
      </c>
      <c r="T152" s="29" t="e">
        <v>#N/A</v>
      </c>
      <c r="U152" s="21" t="s">
        <v>1798</v>
      </c>
    </row>
    <row r="153">
      <c r="A153" s="30">
        <v>7.290014241589E12</v>
      </c>
      <c r="B153" s="20" t="s">
        <v>1813</v>
      </c>
      <c r="C153" s="21">
        <v>0.12</v>
      </c>
      <c r="D153" s="21">
        <v>0.18</v>
      </c>
      <c r="E153" s="21">
        <v>0.03</v>
      </c>
      <c r="F153" s="22">
        <v>10.0</v>
      </c>
      <c r="G153" s="23"/>
      <c r="H153" s="24" t="s">
        <v>1789</v>
      </c>
      <c r="I153" s="21" t="s">
        <v>1790</v>
      </c>
      <c r="J153" s="24" t="s">
        <v>1814</v>
      </c>
      <c r="K153" s="21" t="s">
        <v>1815</v>
      </c>
      <c r="L153" s="25" t="s">
        <v>1816</v>
      </c>
      <c r="M153" s="26" t="s">
        <v>28</v>
      </c>
      <c r="N153" s="24" t="s">
        <v>1794</v>
      </c>
      <c r="O153" s="24" t="s">
        <v>1795</v>
      </c>
      <c r="P153" s="27"/>
      <c r="Q153" s="27"/>
      <c r="R153" s="28" t="s">
        <v>1817</v>
      </c>
      <c r="S153" s="8" t="s">
        <v>1816</v>
      </c>
      <c r="T153" s="29" t="s">
        <v>1790</v>
      </c>
      <c r="U153" s="21" t="s">
        <v>1798</v>
      </c>
    </row>
    <row r="154">
      <c r="A154" s="30">
        <v>7.290004532369E12</v>
      </c>
      <c r="B154" s="20" t="s">
        <v>1818</v>
      </c>
      <c r="C154" s="21">
        <v>0.12</v>
      </c>
      <c r="D154" s="21">
        <v>0.18</v>
      </c>
      <c r="E154" s="21">
        <v>0.03</v>
      </c>
      <c r="F154" s="22">
        <v>10.0</v>
      </c>
      <c r="G154" s="23"/>
      <c r="H154" s="24" t="s">
        <v>1789</v>
      </c>
      <c r="I154" s="21" t="s">
        <v>1790</v>
      </c>
      <c r="J154" s="24" t="s">
        <v>1819</v>
      </c>
      <c r="K154" s="21" t="s">
        <v>1820</v>
      </c>
      <c r="L154" s="25" t="s">
        <v>1821</v>
      </c>
      <c r="M154" s="26" t="s">
        <v>37</v>
      </c>
      <c r="N154" s="24" t="s">
        <v>1794</v>
      </c>
      <c r="O154" s="24" t="s">
        <v>1795</v>
      </c>
      <c r="P154" s="27"/>
      <c r="Q154" s="27"/>
      <c r="R154" s="28" t="s">
        <v>1822</v>
      </c>
      <c r="S154" s="8" t="s">
        <v>1823</v>
      </c>
      <c r="T154" s="29" t="e">
        <v>#N/A</v>
      </c>
      <c r="U154" s="21" t="s">
        <v>1798</v>
      </c>
    </row>
    <row r="155">
      <c r="A155" s="30">
        <v>7.29000816601E12</v>
      </c>
      <c r="B155" s="20" t="s">
        <v>1831</v>
      </c>
      <c r="C155" s="21">
        <v>0.12</v>
      </c>
      <c r="D155" s="21">
        <v>0.18</v>
      </c>
      <c r="E155" s="21">
        <v>0.03</v>
      </c>
      <c r="F155" s="22">
        <v>10.0</v>
      </c>
      <c r="G155" s="23"/>
      <c r="H155" s="24" t="s">
        <v>1789</v>
      </c>
      <c r="I155" s="21" t="s">
        <v>1790</v>
      </c>
      <c r="J155" s="24" t="s">
        <v>1832</v>
      </c>
      <c r="K155" s="21" t="s">
        <v>1833</v>
      </c>
      <c r="L155" s="25" t="s">
        <v>1834</v>
      </c>
      <c r="M155" s="26" t="s">
        <v>37</v>
      </c>
      <c r="N155" s="24" t="s">
        <v>1794</v>
      </c>
      <c r="O155" s="24" t="s">
        <v>1795</v>
      </c>
      <c r="P155" s="27"/>
      <c r="Q155" s="27"/>
      <c r="R155" s="28" t="s">
        <v>1835</v>
      </c>
      <c r="S155" s="8" t="s">
        <v>1836</v>
      </c>
      <c r="T155" s="29" t="e">
        <v>#N/A</v>
      </c>
      <c r="U155" s="21" t="s">
        <v>1798</v>
      </c>
    </row>
    <row r="156">
      <c r="A156" s="30">
        <v>7.290010237685E12</v>
      </c>
      <c r="B156" s="20" t="s">
        <v>1873</v>
      </c>
      <c r="C156" s="21">
        <v>0.06</v>
      </c>
      <c r="D156" s="21">
        <v>0.23</v>
      </c>
      <c r="E156" s="21">
        <v>0.06</v>
      </c>
      <c r="F156" s="22">
        <v>5.0</v>
      </c>
      <c r="G156" s="23"/>
      <c r="H156" s="24" t="s">
        <v>1865</v>
      </c>
      <c r="I156" s="21" t="s">
        <v>546</v>
      </c>
      <c r="J156" s="24" t="s">
        <v>1874</v>
      </c>
      <c r="K156" s="21" t="s">
        <v>1875</v>
      </c>
      <c r="L156" s="25" t="s">
        <v>1876</v>
      </c>
      <c r="M156" s="26" t="s">
        <v>28</v>
      </c>
      <c r="N156" s="24" t="s">
        <v>365</v>
      </c>
      <c r="O156" s="24" t="s">
        <v>536</v>
      </c>
      <c r="P156" s="27"/>
      <c r="Q156" s="27"/>
      <c r="R156" s="28" t="s">
        <v>1877</v>
      </c>
      <c r="S156" s="8" t="s">
        <v>1878</v>
      </c>
      <c r="T156" s="29" t="s">
        <v>546</v>
      </c>
      <c r="U156" s="24"/>
    </row>
    <row r="157">
      <c r="A157" s="30">
        <v>7.290008464604E12</v>
      </c>
      <c r="B157" s="20" t="s">
        <v>1879</v>
      </c>
      <c r="C157" s="21">
        <v>0.065</v>
      </c>
      <c r="D157" s="21">
        <v>0.17</v>
      </c>
      <c r="E157" s="21">
        <v>0.065</v>
      </c>
      <c r="F157" s="22">
        <v>5.0</v>
      </c>
      <c r="G157" s="23"/>
      <c r="H157" s="24" t="s">
        <v>1865</v>
      </c>
      <c r="I157" s="21" t="s">
        <v>546</v>
      </c>
      <c r="J157" s="24" t="s">
        <v>1880</v>
      </c>
      <c r="K157" s="21" t="s">
        <v>1881</v>
      </c>
      <c r="L157" s="25" t="s">
        <v>1882</v>
      </c>
      <c r="M157" s="26" t="s">
        <v>37</v>
      </c>
      <c r="N157" s="24" t="s">
        <v>365</v>
      </c>
      <c r="O157" s="24" t="s">
        <v>543</v>
      </c>
      <c r="P157" s="27"/>
      <c r="Q157" s="27"/>
      <c r="R157" s="31" t="s">
        <v>1883</v>
      </c>
      <c r="S157" s="33" t="s">
        <v>1884</v>
      </c>
      <c r="T157" s="29" t="e">
        <v>#N/A</v>
      </c>
      <c r="U157" s="24"/>
    </row>
    <row r="158">
      <c r="A158" s="30">
        <v>8.712000050146E12</v>
      </c>
      <c r="B158" s="20" t="s">
        <v>1864</v>
      </c>
      <c r="C158" s="21">
        <v>0.06</v>
      </c>
      <c r="D158" s="21">
        <v>0.23</v>
      </c>
      <c r="E158" s="21">
        <v>0.06</v>
      </c>
      <c r="F158" s="22">
        <v>5.0</v>
      </c>
      <c r="G158" s="23"/>
      <c r="H158" s="24" t="s">
        <v>1865</v>
      </c>
      <c r="I158" s="21" t="s">
        <v>546</v>
      </c>
      <c r="J158" s="24" t="s">
        <v>1866</v>
      </c>
      <c r="K158" s="21" t="s">
        <v>1867</v>
      </c>
      <c r="L158" s="25" t="s">
        <v>1868</v>
      </c>
      <c r="M158" s="26" t="s">
        <v>28</v>
      </c>
      <c r="N158" s="24" t="s">
        <v>1869</v>
      </c>
      <c r="O158" s="24" t="s">
        <v>1870</v>
      </c>
      <c r="P158" s="27"/>
      <c r="Q158" s="27"/>
      <c r="R158" s="31" t="s">
        <v>1871</v>
      </c>
      <c r="S158" s="33" t="s">
        <v>1872</v>
      </c>
      <c r="T158" s="29" t="s">
        <v>546</v>
      </c>
      <c r="U158" s="24"/>
    </row>
    <row r="159">
      <c r="A159" s="30">
        <v>8.0176732E7</v>
      </c>
      <c r="B159" s="20" t="s">
        <v>1766</v>
      </c>
      <c r="C159" s="21">
        <v>0.045</v>
      </c>
      <c r="D159" s="21">
        <v>0.09</v>
      </c>
      <c r="E159" s="21">
        <v>0.02</v>
      </c>
      <c r="F159" s="22">
        <v>15.0</v>
      </c>
      <c r="G159" s="23"/>
      <c r="H159" s="24" t="s">
        <v>1767</v>
      </c>
      <c r="I159" s="21" t="s">
        <v>1768</v>
      </c>
      <c r="J159" s="24" t="s">
        <v>1769</v>
      </c>
      <c r="K159" s="21" t="s">
        <v>1770</v>
      </c>
      <c r="L159" s="25" t="s">
        <v>1771</v>
      </c>
      <c r="M159" s="26" t="s">
        <v>28</v>
      </c>
      <c r="N159" s="24" t="s">
        <v>1772</v>
      </c>
      <c r="O159" s="24" t="s">
        <v>1773</v>
      </c>
      <c r="P159" s="27"/>
      <c r="Q159" s="27"/>
      <c r="R159" s="28" t="s">
        <v>1774</v>
      </c>
      <c r="S159" s="8" t="s">
        <v>1775</v>
      </c>
      <c r="T159" s="29" t="s">
        <v>1776</v>
      </c>
      <c r="U159" s="24"/>
    </row>
    <row r="160">
      <c r="A160" s="30">
        <v>43814.0</v>
      </c>
      <c r="B160" s="20" t="s">
        <v>1777</v>
      </c>
      <c r="C160" s="21">
        <v>0.07</v>
      </c>
      <c r="D160" s="21">
        <v>0.09</v>
      </c>
      <c r="E160" s="21">
        <v>0.07</v>
      </c>
      <c r="F160" s="22">
        <v>4.0</v>
      </c>
      <c r="G160" s="23"/>
      <c r="H160" s="24" t="s">
        <v>1778</v>
      </c>
      <c r="I160" s="21" t="s">
        <v>1779</v>
      </c>
      <c r="J160" s="24" t="s">
        <v>1780</v>
      </c>
      <c r="K160" s="21" t="s">
        <v>1781</v>
      </c>
      <c r="L160" s="25" t="s">
        <v>1782</v>
      </c>
      <c r="M160" s="26" t="s">
        <v>28</v>
      </c>
      <c r="N160" s="24" t="s">
        <v>1783</v>
      </c>
      <c r="O160" s="24" t="s">
        <v>1784</v>
      </c>
      <c r="P160" s="27"/>
      <c r="Q160" s="27"/>
      <c r="R160" s="28" t="s">
        <v>1785</v>
      </c>
      <c r="S160" s="8" t="s">
        <v>1786</v>
      </c>
      <c r="T160" s="29" t="s">
        <v>1787</v>
      </c>
      <c r="U160" s="24"/>
    </row>
    <row r="161">
      <c r="A161" s="30">
        <v>8.690526019178E12</v>
      </c>
      <c r="B161" s="20" t="s">
        <v>4854</v>
      </c>
      <c r="C161" s="21">
        <v>0.245</v>
      </c>
      <c r="D161" s="21">
        <v>0.085</v>
      </c>
      <c r="E161" s="21">
        <v>0.02</v>
      </c>
      <c r="F161" s="22">
        <v>15.0</v>
      </c>
      <c r="G161" s="23"/>
      <c r="H161" s="24" t="s">
        <v>4821</v>
      </c>
      <c r="I161" s="21" t="s">
        <v>4822</v>
      </c>
      <c r="J161" s="24" t="s">
        <v>4855</v>
      </c>
      <c r="K161" s="21" t="s">
        <v>4856</v>
      </c>
      <c r="L161" s="25" t="s">
        <v>4857</v>
      </c>
      <c r="M161" s="26" t="s">
        <v>28</v>
      </c>
      <c r="N161" s="24" t="s">
        <v>185</v>
      </c>
      <c r="O161" s="24" t="s">
        <v>195</v>
      </c>
      <c r="P161" s="27"/>
      <c r="Q161" s="27"/>
      <c r="R161" s="28" t="s">
        <v>4858</v>
      </c>
      <c r="S161" s="8" t="s">
        <v>4859</v>
      </c>
      <c r="T161" s="29" t="s">
        <v>4822</v>
      </c>
      <c r="U161" s="24"/>
    </row>
    <row r="162">
      <c r="A162" s="30">
        <v>8.690526019154E12</v>
      </c>
      <c r="B162" s="20" t="s">
        <v>4848</v>
      </c>
      <c r="C162" s="21">
        <v>0.245</v>
      </c>
      <c r="D162" s="21">
        <v>0.085</v>
      </c>
      <c r="E162" s="21">
        <v>0.02</v>
      </c>
      <c r="F162" s="22">
        <v>15.0</v>
      </c>
      <c r="G162" s="23"/>
      <c r="H162" s="24" t="s">
        <v>4821</v>
      </c>
      <c r="I162" s="21" t="s">
        <v>4822</v>
      </c>
      <c r="J162" s="24" t="s">
        <v>4849</v>
      </c>
      <c r="K162" s="21" t="s">
        <v>4850</v>
      </c>
      <c r="L162" s="25" t="s">
        <v>4851</v>
      </c>
      <c r="M162" s="26" t="s">
        <v>28</v>
      </c>
      <c r="N162" s="24" t="s">
        <v>185</v>
      </c>
      <c r="O162" s="24" t="s">
        <v>195</v>
      </c>
      <c r="P162" s="27"/>
      <c r="Q162" s="27"/>
      <c r="R162" s="28" t="s">
        <v>4852</v>
      </c>
      <c r="S162" s="8" t="s">
        <v>4853</v>
      </c>
      <c r="T162" s="29" t="s">
        <v>4822</v>
      </c>
      <c r="U162" s="24"/>
    </row>
    <row r="163">
      <c r="A163" s="30">
        <v>8.690526009179E12</v>
      </c>
      <c r="B163" s="20" t="s">
        <v>4860</v>
      </c>
      <c r="C163" s="21">
        <v>0.11</v>
      </c>
      <c r="D163" s="21">
        <v>0.055</v>
      </c>
      <c r="E163" s="21">
        <v>0.02</v>
      </c>
      <c r="F163" s="22">
        <v>15.0</v>
      </c>
      <c r="G163" s="23"/>
      <c r="H163" s="24" t="s">
        <v>4821</v>
      </c>
      <c r="I163" s="21" t="s">
        <v>4822</v>
      </c>
      <c r="J163" s="24" t="s">
        <v>4861</v>
      </c>
      <c r="K163" s="21" t="s">
        <v>4862</v>
      </c>
      <c r="L163" s="25" t="s">
        <v>4863</v>
      </c>
      <c r="M163" s="26" t="s">
        <v>28</v>
      </c>
      <c r="N163" s="24" t="s">
        <v>501</v>
      </c>
      <c r="O163" s="24" t="s">
        <v>502</v>
      </c>
      <c r="P163" s="27"/>
      <c r="Q163" s="27"/>
      <c r="R163" s="28" t="s">
        <v>4864</v>
      </c>
      <c r="S163" s="8" t="s">
        <v>4865</v>
      </c>
      <c r="T163" s="29" t="s">
        <v>4828</v>
      </c>
      <c r="U163" s="24"/>
    </row>
    <row r="164">
      <c r="A164" s="30">
        <v>8.690526009292E12</v>
      </c>
      <c r="B164" s="20" t="s">
        <v>4829</v>
      </c>
      <c r="C164" s="21">
        <v>0.11</v>
      </c>
      <c r="D164" s="21">
        <v>0.045</v>
      </c>
      <c r="E164" s="21">
        <v>0.02</v>
      </c>
      <c r="F164" s="22">
        <v>15.0</v>
      </c>
      <c r="G164" s="23"/>
      <c r="H164" s="24" t="s">
        <v>4821</v>
      </c>
      <c r="I164" s="21" t="s">
        <v>4822</v>
      </c>
      <c r="J164" s="24" t="s">
        <v>4830</v>
      </c>
      <c r="K164" s="21" t="s">
        <v>4831</v>
      </c>
      <c r="L164" s="25" t="s">
        <v>4832</v>
      </c>
      <c r="M164" s="26" t="s">
        <v>28</v>
      </c>
      <c r="N164" s="24" t="s">
        <v>501</v>
      </c>
      <c r="O164" s="24" t="s">
        <v>502</v>
      </c>
      <c r="P164" s="27"/>
      <c r="Q164" s="27"/>
      <c r="R164" s="31" t="s">
        <v>4833</v>
      </c>
      <c r="S164" s="33" t="s">
        <v>4834</v>
      </c>
      <c r="T164" s="29" t="s">
        <v>4828</v>
      </c>
      <c r="U164" s="24"/>
    </row>
    <row r="165">
      <c r="A165" s="30">
        <v>8.690526009216E12</v>
      </c>
      <c r="B165" s="20" t="s">
        <v>4820</v>
      </c>
      <c r="C165" s="21">
        <v>0.04</v>
      </c>
      <c r="D165" s="21">
        <v>0.115</v>
      </c>
      <c r="E165" s="21">
        <v>0.03</v>
      </c>
      <c r="F165" s="22">
        <v>10.0</v>
      </c>
      <c r="G165" s="23"/>
      <c r="H165" s="24" t="s">
        <v>4821</v>
      </c>
      <c r="I165" s="21" t="s">
        <v>4822</v>
      </c>
      <c r="J165" s="24" t="s">
        <v>4823</v>
      </c>
      <c r="K165" s="21" t="s">
        <v>4824</v>
      </c>
      <c r="L165" s="25" t="s">
        <v>4825</v>
      </c>
      <c r="M165" s="26" t="s">
        <v>28</v>
      </c>
      <c r="N165" s="24" t="s">
        <v>501</v>
      </c>
      <c r="O165" s="24" t="s">
        <v>502</v>
      </c>
      <c r="P165" s="27"/>
      <c r="Q165" s="27"/>
      <c r="R165" s="31" t="s">
        <v>4826</v>
      </c>
      <c r="S165" s="33" t="s">
        <v>4827</v>
      </c>
      <c r="T165" s="29" t="s">
        <v>4828</v>
      </c>
      <c r="U165" s="24"/>
    </row>
    <row r="166">
      <c r="A166" s="30">
        <v>8.690526009315E12</v>
      </c>
      <c r="B166" s="20" t="s">
        <v>4835</v>
      </c>
      <c r="C166" s="21">
        <v>0.085</v>
      </c>
      <c r="D166" s="21">
        <v>0.087</v>
      </c>
      <c r="E166" s="21">
        <v>0.01</v>
      </c>
      <c r="F166" s="22">
        <v>30.0</v>
      </c>
      <c r="G166" s="23"/>
      <c r="H166" s="24" t="s">
        <v>4821</v>
      </c>
      <c r="I166" s="21" t="s">
        <v>4822</v>
      </c>
      <c r="J166" s="24" t="s">
        <v>4836</v>
      </c>
      <c r="K166" s="21" t="s">
        <v>4837</v>
      </c>
      <c r="L166" s="25" t="s">
        <v>4838</v>
      </c>
      <c r="M166" s="26" t="s">
        <v>28</v>
      </c>
      <c r="N166" s="24" t="s">
        <v>1484</v>
      </c>
      <c r="O166" s="24" t="s">
        <v>1498</v>
      </c>
      <c r="P166" s="27"/>
      <c r="Q166" s="27"/>
      <c r="R166" s="28" t="s">
        <v>4839</v>
      </c>
      <c r="S166" s="8" t="s">
        <v>4840</v>
      </c>
      <c r="T166" s="29" t="s">
        <v>4841</v>
      </c>
      <c r="U166" s="24"/>
    </row>
    <row r="167">
      <c r="A167" s="30">
        <v>8.690526009339E12</v>
      </c>
      <c r="B167" s="20" t="s">
        <v>4842</v>
      </c>
      <c r="C167" s="21">
        <v>0.085</v>
      </c>
      <c r="D167" s="21">
        <v>0.087</v>
      </c>
      <c r="E167" s="21">
        <v>0.01</v>
      </c>
      <c r="F167" s="22">
        <v>30.0</v>
      </c>
      <c r="G167" s="23"/>
      <c r="H167" s="24" t="s">
        <v>4821</v>
      </c>
      <c r="I167" s="21" t="s">
        <v>4822</v>
      </c>
      <c r="J167" s="24" t="s">
        <v>4843</v>
      </c>
      <c r="K167" s="21" t="s">
        <v>4844</v>
      </c>
      <c r="L167" s="25" t="s">
        <v>4845</v>
      </c>
      <c r="M167" s="26" t="s">
        <v>28</v>
      </c>
      <c r="N167" s="24" t="s">
        <v>1484</v>
      </c>
      <c r="O167" s="24" t="s">
        <v>1498</v>
      </c>
      <c r="P167" s="27"/>
      <c r="Q167" s="27"/>
      <c r="R167" s="28" t="s">
        <v>4846</v>
      </c>
      <c r="S167" s="8" t="s">
        <v>4847</v>
      </c>
      <c r="T167" s="29" t="s">
        <v>4841</v>
      </c>
      <c r="U167" s="24"/>
    </row>
    <row r="168">
      <c r="A168" s="30">
        <v>7.610046000822E12</v>
      </c>
      <c r="B168" s="20" t="s">
        <v>2031</v>
      </c>
      <c r="C168" s="21">
        <v>0.14</v>
      </c>
      <c r="D168" s="21">
        <v>0.048</v>
      </c>
      <c r="E168" s="21">
        <v>0.013</v>
      </c>
      <c r="F168" s="22">
        <v>23.0</v>
      </c>
      <c r="G168" s="23"/>
      <c r="H168" s="24" t="s">
        <v>2022</v>
      </c>
      <c r="I168" s="21" t="s">
        <v>2023</v>
      </c>
      <c r="J168" s="24" t="s">
        <v>2032</v>
      </c>
      <c r="K168" s="21" t="s">
        <v>2033</v>
      </c>
      <c r="L168" s="25" t="s">
        <v>2034</v>
      </c>
      <c r="M168" s="26" t="s">
        <v>28</v>
      </c>
      <c r="N168" s="24" t="s">
        <v>2027</v>
      </c>
      <c r="O168" s="24" t="s">
        <v>2028</v>
      </c>
      <c r="P168" s="27"/>
      <c r="Q168" s="27"/>
      <c r="R168" s="28" t="s">
        <v>2035</v>
      </c>
      <c r="S168" s="8" t="s">
        <v>2036</v>
      </c>
      <c r="T168" s="29" t="s">
        <v>2023</v>
      </c>
      <c r="U168" s="24"/>
    </row>
    <row r="169">
      <c r="A169" s="30">
        <v>7.610046000808E12</v>
      </c>
      <c r="B169" s="20" t="s">
        <v>2021</v>
      </c>
      <c r="C169" s="21">
        <v>0.14</v>
      </c>
      <c r="D169" s="21">
        <v>0.048</v>
      </c>
      <c r="E169" s="21">
        <v>0.013</v>
      </c>
      <c r="F169" s="22">
        <v>23.0</v>
      </c>
      <c r="G169" s="23"/>
      <c r="H169" s="24" t="s">
        <v>2022</v>
      </c>
      <c r="I169" s="21" t="s">
        <v>2023</v>
      </c>
      <c r="J169" s="24" t="s">
        <v>2024</v>
      </c>
      <c r="K169" s="21" t="s">
        <v>2025</v>
      </c>
      <c r="L169" s="25" t="s">
        <v>2026</v>
      </c>
      <c r="M169" s="26" t="s">
        <v>28</v>
      </c>
      <c r="N169" s="24" t="s">
        <v>2027</v>
      </c>
      <c r="O169" s="24" t="s">
        <v>2028</v>
      </c>
      <c r="P169" s="27"/>
      <c r="Q169" s="27"/>
      <c r="R169" s="28" t="s">
        <v>2029</v>
      </c>
      <c r="S169" s="8" t="s">
        <v>2030</v>
      </c>
      <c r="T169" s="29" t="s">
        <v>2023</v>
      </c>
      <c r="U169" s="24"/>
    </row>
    <row r="170">
      <c r="A170" s="30">
        <v>4.014400914696E12</v>
      </c>
      <c r="B170" s="20" t="s">
        <v>4866</v>
      </c>
      <c r="C170" s="21">
        <v>0.118</v>
      </c>
      <c r="D170" s="21">
        <v>0.185</v>
      </c>
      <c r="E170" s="21">
        <v>0.023</v>
      </c>
      <c r="F170" s="22">
        <v>13.0</v>
      </c>
      <c r="G170" s="23"/>
      <c r="H170" s="24" t="s">
        <v>4867</v>
      </c>
      <c r="I170" s="21" t="s">
        <v>4868</v>
      </c>
      <c r="J170" s="24" t="s">
        <v>4869</v>
      </c>
      <c r="K170" s="21" t="s">
        <v>4870</v>
      </c>
      <c r="L170" s="25" t="s">
        <v>4871</v>
      </c>
      <c r="M170" s="26" t="s">
        <v>28</v>
      </c>
      <c r="N170" s="24" t="s">
        <v>2611</v>
      </c>
      <c r="O170" s="24" t="s">
        <v>2886</v>
      </c>
      <c r="P170" s="27"/>
      <c r="Q170" s="27"/>
      <c r="R170" s="28" t="s">
        <v>4872</v>
      </c>
      <c r="S170" s="8" t="s">
        <v>4873</v>
      </c>
      <c r="T170" s="29" t="s">
        <v>4868</v>
      </c>
      <c r="U170" s="24"/>
    </row>
    <row r="171">
      <c r="A171" s="30">
        <v>4.014400925319E12</v>
      </c>
      <c r="B171" s="20" t="s">
        <v>4874</v>
      </c>
      <c r="C171" s="21">
        <v>0.145</v>
      </c>
      <c r="D171" s="21">
        <v>0.215</v>
      </c>
      <c r="E171" s="21">
        <v>0.06</v>
      </c>
      <c r="F171" s="22">
        <v>5.0</v>
      </c>
      <c r="G171" s="23"/>
      <c r="H171" s="24" t="s">
        <v>4867</v>
      </c>
      <c r="I171" s="21" t="s">
        <v>4868</v>
      </c>
      <c r="J171" s="24" t="s">
        <v>4875</v>
      </c>
      <c r="K171" s="21" t="s">
        <v>4876</v>
      </c>
      <c r="L171" s="25" t="s">
        <v>4877</v>
      </c>
      <c r="M171" s="26" t="s">
        <v>28</v>
      </c>
      <c r="N171" s="24" t="s">
        <v>109</v>
      </c>
      <c r="O171" s="24" t="s">
        <v>3526</v>
      </c>
      <c r="P171" s="27"/>
      <c r="Q171" s="27"/>
      <c r="R171" s="28" t="s">
        <v>4878</v>
      </c>
      <c r="S171" s="8" t="s">
        <v>4877</v>
      </c>
      <c r="T171" s="29" t="s">
        <v>4868</v>
      </c>
      <c r="U171" s="21" t="s">
        <v>113</v>
      </c>
    </row>
    <row r="172">
      <c r="A172" s="30">
        <v>7.290000347738E12</v>
      </c>
      <c r="B172" s="20" t="s">
        <v>5185</v>
      </c>
      <c r="C172" s="21">
        <v>0.068</v>
      </c>
      <c r="D172" s="21">
        <v>0.144</v>
      </c>
      <c r="E172" s="21">
        <v>0.064</v>
      </c>
      <c r="F172" s="22">
        <v>5.0</v>
      </c>
      <c r="G172" s="23"/>
      <c r="H172" s="24" t="s">
        <v>4887</v>
      </c>
      <c r="I172" s="21" t="s">
        <v>4910</v>
      </c>
      <c r="J172" s="24" t="s">
        <v>4904</v>
      </c>
      <c r="K172" s="21" t="s">
        <v>4905</v>
      </c>
      <c r="L172" s="25" t="s">
        <v>4906</v>
      </c>
      <c r="M172" s="26" t="s">
        <v>37</v>
      </c>
      <c r="N172" s="24" t="s">
        <v>4892</v>
      </c>
      <c r="O172" s="24" t="s">
        <v>4892</v>
      </c>
      <c r="P172" s="27"/>
      <c r="Q172" s="27"/>
      <c r="R172" s="28" t="s">
        <v>4907</v>
      </c>
      <c r="S172" s="8" t="s">
        <v>4908</v>
      </c>
      <c r="T172" s="29" t="e">
        <v>#N/A</v>
      </c>
      <c r="U172" s="24"/>
    </row>
    <row r="173">
      <c r="A173" s="30">
        <v>7.290000347752E12</v>
      </c>
      <c r="B173" s="20" t="s">
        <v>5186</v>
      </c>
      <c r="C173" s="21">
        <v>0.144</v>
      </c>
      <c r="D173" s="21">
        <v>0.0685</v>
      </c>
      <c r="E173" s="21">
        <v>0.064</v>
      </c>
      <c r="F173" s="22">
        <v>5.0</v>
      </c>
      <c r="G173" s="23"/>
      <c r="H173" s="24" t="s">
        <v>4887</v>
      </c>
      <c r="I173" s="21" t="s">
        <v>4910</v>
      </c>
      <c r="J173" s="24" t="s">
        <v>4897</v>
      </c>
      <c r="K173" s="21" t="s">
        <v>4898</v>
      </c>
      <c r="L173" s="25" t="s">
        <v>4899</v>
      </c>
      <c r="M173" s="26" t="s">
        <v>37</v>
      </c>
      <c r="N173" s="24" t="s">
        <v>4892</v>
      </c>
      <c r="O173" s="24" t="s">
        <v>4892</v>
      </c>
      <c r="P173" s="27"/>
      <c r="Q173" s="27"/>
      <c r="R173" s="28" t="s">
        <v>4900</v>
      </c>
      <c r="S173" s="8" t="s">
        <v>4901</v>
      </c>
      <c r="T173" s="29" t="e">
        <v>#N/A</v>
      </c>
      <c r="U173" s="24"/>
    </row>
    <row r="174">
      <c r="A174" s="30">
        <v>7.29000034526E12</v>
      </c>
      <c r="B174" s="20" t="s">
        <v>5187</v>
      </c>
      <c r="C174" s="21">
        <v>0.145</v>
      </c>
      <c r="D174" s="21">
        <v>0.07</v>
      </c>
      <c r="E174" s="21">
        <v>0.065</v>
      </c>
      <c r="F174" s="22">
        <v>5.0</v>
      </c>
      <c r="G174" s="23"/>
      <c r="H174" s="24" t="s">
        <v>4887</v>
      </c>
      <c r="I174" s="21" t="s">
        <v>4910</v>
      </c>
      <c r="J174" s="24" t="s">
        <v>4889</v>
      </c>
      <c r="K174" s="21" t="s">
        <v>4890</v>
      </c>
      <c r="L174" s="25" t="s">
        <v>4891</v>
      </c>
      <c r="M174" s="26" t="s">
        <v>37</v>
      </c>
      <c r="N174" s="24" t="s">
        <v>4892</v>
      </c>
      <c r="O174" s="24" t="s">
        <v>4892</v>
      </c>
      <c r="P174" s="27"/>
      <c r="Q174" s="27"/>
      <c r="R174" s="28" t="s">
        <v>4893</v>
      </c>
      <c r="S174" s="8" t="s">
        <v>4894</v>
      </c>
      <c r="T174" s="29" t="e">
        <v>#N/A</v>
      </c>
      <c r="U174" s="24"/>
    </row>
    <row r="175">
      <c r="A175" s="30">
        <v>7.290013586285E12</v>
      </c>
      <c r="B175" s="20" t="s">
        <v>4916</v>
      </c>
      <c r="C175" s="21">
        <v>0.073</v>
      </c>
      <c r="D175" s="21">
        <v>0.195</v>
      </c>
      <c r="E175" s="21">
        <v>0.057</v>
      </c>
      <c r="F175" s="22">
        <v>5.0</v>
      </c>
      <c r="G175" s="23"/>
      <c r="H175" s="24" t="s">
        <v>4887</v>
      </c>
      <c r="I175" s="21" t="s">
        <v>4910</v>
      </c>
      <c r="J175" s="24" t="s">
        <v>4917</v>
      </c>
      <c r="K175" s="21" t="s">
        <v>4918</v>
      </c>
      <c r="L175" s="25" t="s">
        <v>4919</v>
      </c>
      <c r="M175" s="26" t="s">
        <v>28</v>
      </c>
      <c r="N175" s="24" t="s">
        <v>149</v>
      </c>
      <c r="O175" s="24" t="s">
        <v>150</v>
      </c>
      <c r="P175" s="27"/>
      <c r="Q175" s="27"/>
      <c r="R175" s="28" t="s">
        <v>4920</v>
      </c>
      <c r="S175" s="8" t="s">
        <v>4921</v>
      </c>
      <c r="T175" s="29" t="s">
        <v>4910</v>
      </c>
      <c r="U175" s="24"/>
    </row>
    <row r="176">
      <c r="A176" s="30">
        <v>7.290013585899E12</v>
      </c>
      <c r="B176" s="20" t="s">
        <v>4909</v>
      </c>
      <c r="C176" s="21">
        <v>0.073</v>
      </c>
      <c r="D176" s="21">
        <v>0.195</v>
      </c>
      <c r="E176" s="21">
        <v>0.057</v>
      </c>
      <c r="F176" s="22">
        <v>5.0</v>
      </c>
      <c r="G176" s="23"/>
      <c r="H176" s="24" t="s">
        <v>4887</v>
      </c>
      <c r="I176" s="21" t="s">
        <v>4910</v>
      </c>
      <c r="J176" s="24" t="s">
        <v>4911</v>
      </c>
      <c r="K176" s="21" t="s">
        <v>4912</v>
      </c>
      <c r="L176" s="25" t="s">
        <v>4913</v>
      </c>
      <c r="M176" s="26" t="s">
        <v>28</v>
      </c>
      <c r="N176" s="24" t="s">
        <v>149</v>
      </c>
      <c r="O176" s="24" t="s">
        <v>150</v>
      </c>
      <c r="P176" s="27"/>
      <c r="Q176" s="27"/>
      <c r="R176" s="28" t="s">
        <v>4914</v>
      </c>
      <c r="S176" s="8" t="s">
        <v>4915</v>
      </c>
      <c r="T176" s="29" t="s">
        <v>4910</v>
      </c>
      <c r="U176" s="24"/>
    </row>
    <row r="177">
      <c r="A177" s="30">
        <v>7.29000159452E12</v>
      </c>
      <c r="B177" s="20" t="s">
        <v>4778</v>
      </c>
      <c r="C177" s="21">
        <v>0.06</v>
      </c>
      <c r="D177" s="21">
        <v>0.228</v>
      </c>
      <c r="E177" s="21">
        <v>0.06</v>
      </c>
      <c r="F177" s="22">
        <v>5.0</v>
      </c>
      <c r="G177" s="23"/>
      <c r="H177" s="24" t="s">
        <v>4779</v>
      </c>
      <c r="I177" s="21" t="s">
        <v>4780</v>
      </c>
      <c r="J177" s="24" t="s">
        <v>4781</v>
      </c>
      <c r="K177" s="21" t="s">
        <v>4782</v>
      </c>
      <c r="L177" s="25" t="s">
        <v>4783</v>
      </c>
      <c r="M177" s="26" t="s">
        <v>37</v>
      </c>
      <c r="N177" s="24" t="s">
        <v>365</v>
      </c>
      <c r="O177" s="24" t="s">
        <v>536</v>
      </c>
      <c r="P177" s="27"/>
      <c r="Q177" s="27"/>
      <c r="R177" s="28" t="s">
        <v>4784</v>
      </c>
      <c r="S177" s="8" t="s">
        <v>4785</v>
      </c>
      <c r="T177" s="29" t="e">
        <v>#N/A</v>
      </c>
      <c r="U177" s="24"/>
    </row>
    <row r="178">
      <c r="A178" s="30">
        <v>7.290001594575E12</v>
      </c>
      <c r="B178" s="20" t="s">
        <v>4786</v>
      </c>
      <c r="C178" s="21">
        <v>0.065</v>
      </c>
      <c r="D178" s="21">
        <v>0.17</v>
      </c>
      <c r="E178" s="21">
        <v>0.06</v>
      </c>
      <c r="F178" s="22">
        <v>5.0</v>
      </c>
      <c r="G178" s="23"/>
      <c r="H178" s="24" t="s">
        <v>4779</v>
      </c>
      <c r="I178" s="21" t="s">
        <v>4780</v>
      </c>
      <c r="J178" s="24" t="s">
        <v>4787</v>
      </c>
      <c r="K178" s="21" t="s">
        <v>4788</v>
      </c>
      <c r="L178" s="25" t="s">
        <v>4789</v>
      </c>
      <c r="M178" s="26" t="s">
        <v>37</v>
      </c>
      <c r="N178" s="24" t="s">
        <v>365</v>
      </c>
      <c r="O178" s="24" t="s">
        <v>543</v>
      </c>
      <c r="P178" s="27"/>
      <c r="Q178" s="27"/>
      <c r="R178" s="31" t="s">
        <v>4790</v>
      </c>
      <c r="S178" s="33" t="s">
        <v>4791</v>
      </c>
      <c r="T178" s="29" t="e">
        <v>#N/A</v>
      </c>
      <c r="U178" s="24"/>
    </row>
    <row r="179">
      <c r="A179" s="30">
        <v>7.2918388E7</v>
      </c>
      <c r="B179" s="20" t="s">
        <v>4792</v>
      </c>
      <c r="C179" s="21">
        <v>0.12</v>
      </c>
      <c r="D179" s="21">
        <v>0.035</v>
      </c>
      <c r="E179" s="21">
        <v>0.02</v>
      </c>
      <c r="F179" s="22">
        <v>15.0</v>
      </c>
      <c r="G179" s="23"/>
      <c r="H179" s="24" t="s">
        <v>4793</v>
      </c>
      <c r="I179" s="21" t="s">
        <v>4794</v>
      </c>
      <c r="J179" s="24" t="s">
        <v>4795</v>
      </c>
      <c r="K179" s="21" t="s">
        <v>4796</v>
      </c>
      <c r="L179" s="25" t="s">
        <v>4797</v>
      </c>
      <c r="M179" s="26" t="s">
        <v>28</v>
      </c>
      <c r="N179" s="24" t="s">
        <v>501</v>
      </c>
      <c r="O179" s="24" t="s">
        <v>502</v>
      </c>
      <c r="P179" s="27"/>
      <c r="Q179" s="27"/>
      <c r="R179" s="31" t="s">
        <v>4798</v>
      </c>
      <c r="S179" s="33" t="s">
        <v>4799</v>
      </c>
      <c r="T179" s="29" t="s">
        <v>4794</v>
      </c>
      <c r="U179" s="24"/>
    </row>
    <row r="180">
      <c r="A180" s="30">
        <v>5.000159459228E12</v>
      </c>
      <c r="B180" s="20" t="s">
        <v>4800</v>
      </c>
      <c r="C180" s="21">
        <v>0.12</v>
      </c>
      <c r="D180" s="21">
        <v>0.045</v>
      </c>
      <c r="E180" s="21">
        <v>0.02</v>
      </c>
      <c r="F180" s="22">
        <v>15.0</v>
      </c>
      <c r="G180" s="23"/>
      <c r="H180" s="24" t="s">
        <v>4801</v>
      </c>
      <c r="I180" s="21" t="s">
        <v>4802</v>
      </c>
      <c r="J180" s="24" t="s">
        <v>4803</v>
      </c>
      <c r="K180" s="21" t="s">
        <v>4804</v>
      </c>
      <c r="L180" s="25" t="s">
        <v>4805</v>
      </c>
      <c r="M180" s="26" t="s">
        <v>28</v>
      </c>
      <c r="N180" s="24" t="s">
        <v>501</v>
      </c>
      <c r="O180" s="24" t="s">
        <v>502</v>
      </c>
      <c r="P180" s="27"/>
      <c r="Q180" s="27"/>
      <c r="R180" s="31" t="s">
        <v>4806</v>
      </c>
      <c r="S180" s="8" t="s">
        <v>4807</v>
      </c>
      <c r="T180" s="29" t="s">
        <v>4808</v>
      </c>
      <c r="U180" s="24"/>
    </row>
    <row r="181">
      <c r="A181" s="30">
        <v>7.290106656512E12</v>
      </c>
      <c r="B181" s="20" t="s">
        <v>5188</v>
      </c>
      <c r="C181" s="21">
        <v>0.15</v>
      </c>
      <c r="D181" s="21">
        <v>0.23</v>
      </c>
      <c r="E181" s="21">
        <v>0.035</v>
      </c>
      <c r="F181" s="22">
        <v>9.0</v>
      </c>
      <c r="G181" s="23"/>
      <c r="H181" s="32" t="s">
        <v>230</v>
      </c>
      <c r="I181" s="34" t="s">
        <v>189</v>
      </c>
      <c r="J181" s="24" t="s">
        <v>182</v>
      </c>
      <c r="K181" s="21" t="s">
        <v>183</v>
      </c>
      <c r="L181" s="25" t="s">
        <v>184</v>
      </c>
      <c r="M181" s="26" t="s">
        <v>28</v>
      </c>
      <c r="N181" s="24" t="s">
        <v>185</v>
      </c>
      <c r="O181" s="24" t="s">
        <v>186</v>
      </c>
      <c r="P181" s="27"/>
      <c r="Q181" s="27"/>
      <c r="R181" s="28" t="s">
        <v>187</v>
      </c>
      <c r="S181" s="8" t="s">
        <v>188</v>
      </c>
      <c r="T181" s="29" t="s">
        <v>189</v>
      </c>
      <c r="U181" s="24"/>
    </row>
    <row r="182">
      <c r="A182" s="30">
        <v>7.290107943048E12</v>
      </c>
      <c r="B182" s="20" t="s">
        <v>229</v>
      </c>
      <c r="C182" s="21">
        <v>0.08</v>
      </c>
      <c r="D182" s="21">
        <v>0.112</v>
      </c>
      <c r="E182" s="21">
        <v>0.03</v>
      </c>
      <c r="F182" s="22">
        <v>10.0</v>
      </c>
      <c r="G182" s="23"/>
      <c r="H182" s="32" t="s">
        <v>230</v>
      </c>
      <c r="I182" s="34" t="s">
        <v>198</v>
      </c>
      <c r="J182" s="24" t="s">
        <v>231</v>
      </c>
      <c r="K182" s="21" t="s">
        <v>232</v>
      </c>
      <c r="L182" s="25" t="s">
        <v>233</v>
      </c>
      <c r="M182" s="26" t="s">
        <v>28</v>
      </c>
      <c r="N182" s="24" t="s">
        <v>185</v>
      </c>
      <c r="O182" s="24" t="s">
        <v>186</v>
      </c>
      <c r="P182" s="27"/>
      <c r="Q182" s="27"/>
      <c r="R182" s="28" t="s">
        <v>234</v>
      </c>
      <c r="S182" s="8" t="s">
        <v>235</v>
      </c>
      <c r="T182" s="29" t="s">
        <v>198</v>
      </c>
      <c r="U182" s="24"/>
    </row>
    <row r="183">
      <c r="A183" s="30">
        <v>7.290112349255E12</v>
      </c>
      <c r="B183" s="20" t="s">
        <v>3132</v>
      </c>
      <c r="C183" s="21">
        <v>0.07</v>
      </c>
      <c r="D183" s="21">
        <v>0.105</v>
      </c>
      <c r="E183" s="21">
        <v>0.05</v>
      </c>
      <c r="F183" s="22">
        <v>6.0</v>
      </c>
      <c r="G183" s="23"/>
      <c r="H183" s="32" t="s">
        <v>230</v>
      </c>
      <c r="I183" s="34" t="s">
        <v>2071</v>
      </c>
      <c r="J183" s="24" t="s">
        <v>3133</v>
      </c>
      <c r="K183" s="21" t="s">
        <v>3134</v>
      </c>
      <c r="L183" s="25" t="s">
        <v>3135</v>
      </c>
      <c r="M183" s="26" t="s">
        <v>28</v>
      </c>
      <c r="N183" s="24" t="s">
        <v>501</v>
      </c>
      <c r="O183" s="24" t="s">
        <v>729</v>
      </c>
      <c r="P183" s="27"/>
      <c r="Q183" s="27"/>
      <c r="R183" s="28" t="s">
        <v>3136</v>
      </c>
      <c r="S183" s="8" t="s">
        <v>3137</v>
      </c>
      <c r="T183" s="29" t="s">
        <v>2077</v>
      </c>
      <c r="U183" s="24"/>
    </row>
    <row r="184">
      <c r="A184" s="30">
        <v>7.290112346537E12</v>
      </c>
      <c r="B184" s="20" t="s">
        <v>4764</v>
      </c>
      <c r="C184" s="21">
        <v>0.26</v>
      </c>
      <c r="D184" s="21">
        <v>0.09</v>
      </c>
      <c r="E184" s="21">
        <v>0.03</v>
      </c>
      <c r="F184" s="22">
        <v>10.0</v>
      </c>
      <c r="G184" s="23"/>
      <c r="H184" s="32" t="s">
        <v>230</v>
      </c>
      <c r="I184" s="34" t="s">
        <v>4770</v>
      </c>
      <c r="J184" s="24" t="s">
        <v>4765</v>
      </c>
      <c r="K184" s="21" t="s">
        <v>4766</v>
      </c>
      <c r="L184" s="25" t="s">
        <v>4767</v>
      </c>
      <c r="M184" s="26" t="s">
        <v>28</v>
      </c>
      <c r="N184" s="24" t="s">
        <v>2364</v>
      </c>
      <c r="O184" s="24" t="s">
        <v>3164</v>
      </c>
      <c r="P184" s="27"/>
      <c r="Q184" s="27"/>
      <c r="R184" s="31" t="s">
        <v>4768</v>
      </c>
      <c r="S184" s="33" t="s">
        <v>4769</v>
      </c>
      <c r="T184" s="29" t="s">
        <v>4770</v>
      </c>
      <c r="U184" s="24"/>
    </row>
    <row r="185">
      <c r="A185" s="30">
        <v>7.290106658479E12</v>
      </c>
      <c r="B185" s="20" t="s">
        <v>4771</v>
      </c>
      <c r="C185" s="21">
        <v>0.16</v>
      </c>
      <c r="D185" s="21">
        <v>0.035</v>
      </c>
      <c r="E185" s="21">
        <v>0.02</v>
      </c>
      <c r="F185" s="22">
        <v>15.0</v>
      </c>
      <c r="G185" s="23"/>
      <c r="H185" s="32" t="s">
        <v>230</v>
      </c>
      <c r="I185" s="34" t="s">
        <v>4772</v>
      </c>
      <c r="J185" s="24" t="s">
        <v>4773</v>
      </c>
      <c r="K185" s="21" t="s">
        <v>4774</v>
      </c>
      <c r="L185" s="25" t="s">
        <v>4775</v>
      </c>
      <c r="M185" s="26" t="s">
        <v>28</v>
      </c>
      <c r="N185" s="24" t="s">
        <v>501</v>
      </c>
      <c r="O185" s="24" t="s">
        <v>502</v>
      </c>
      <c r="P185" s="27"/>
      <c r="Q185" s="27"/>
      <c r="R185" s="31" t="s">
        <v>4776</v>
      </c>
      <c r="S185" s="33" t="s">
        <v>4777</v>
      </c>
      <c r="T185" s="29" t="s">
        <v>4772</v>
      </c>
      <c r="U185" s="24"/>
    </row>
    <row r="186">
      <c r="A186" s="30">
        <v>9.310072028743E12</v>
      </c>
      <c r="B186" s="20" t="s">
        <v>4739</v>
      </c>
      <c r="C186" s="21">
        <v>0.24</v>
      </c>
      <c r="D186" s="21">
        <v>0.075</v>
      </c>
      <c r="E186" s="21">
        <v>0.035</v>
      </c>
      <c r="F186" s="22">
        <v>9.0</v>
      </c>
      <c r="G186" s="23"/>
      <c r="H186" s="24" t="s">
        <v>4731</v>
      </c>
      <c r="I186" s="21" t="s">
        <v>4732</v>
      </c>
      <c r="J186" s="24" t="s">
        <v>4740</v>
      </c>
      <c r="K186" s="21" t="s">
        <v>4741</v>
      </c>
      <c r="L186" s="25" t="s">
        <v>4742</v>
      </c>
      <c r="M186" s="26" t="s">
        <v>28</v>
      </c>
      <c r="N186" s="24" t="s">
        <v>2364</v>
      </c>
      <c r="O186" s="24" t="s">
        <v>2365</v>
      </c>
      <c r="P186" s="27"/>
      <c r="Q186" s="27"/>
      <c r="R186" s="28" t="s">
        <v>4743</v>
      </c>
      <c r="S186" s="33" t="s">
        <v>4744</v>
      </c>
      <c r="T186" s="29" t="s">
        <v>4738</v>
      </c>
      <c r="U186" s="24"/>
    </row>
    <row r="187">
      <c r="A187" s="30">
        <v>9.31007202875E12</v>
      </c>
      <c r="B187" s="20" t="s">
        <v>4730</v>
      </c>
      <c r="C187" s="21">
        <v>0.24</v>
      </c>
      <c r="D187" s="21">
        <v>0.075</v>
      </c>
      <c r="E187" s="21">
        <v>0.035</v>
      </c>
      <c r="F187" s="22">
        <v>9.0</v>
      </c>
      <c r="G187" s="23"/>
      <c r="H187" s="24" t="s">
        <v>4731</v>
      </c>
      <c r="I187" s="21" t="s">
        <v>4732</v>
      </c>
      <c r="J187" s="24" t="s">
        <v>4733</v>
      </c>
      <c r="K187" s="21" t="s">
        <v>4734</v>
      </c>
      <c r="L187" s="25" t="s">
        <v>4735</v>
      </c>
      <c r="M187" s="26" t="s">
        <v>28</v>
      </c>
      <c r="N187" s="24" t="s">
        <v>2364</v>
      </c>
      <c r="O187" s="24" t="s">
        <v>2365</v>
      </c>
      <c r="P187" s="27"/>
      <c r="Q187" s="27"/>
      <c r="R187" s="28" t="s">
        <v>4736</v>
      </c>
      <c r="S187" s="8" t="s">
        <v>4737</v>
      </c>
      <c r="T187" s="29" t="s">
        <v>4738</v>
      </c>
      <c r="U187" s="24"/>
    </row>
    <row r="188">
      <c r="A188" s="30">
        <v>8.0050124E7</v>
      </c>
      <c r="B188" s="20" t="s">
        <v>4715</v>
      </c>
      <c r="C188" s="21">
        <v>0.037</v>
      </c>
      <c r="D188" s="21">
        <v>0.061</v>
      </c>
      <c r="E188" s="21">
        <v>0.02</v>
      </c>
      <c r="F188" s="22">
        <v>15.0</v>
      </c>
      <c r="G188" s="23"/>
      <c r="H188" s="24" t="s">
        <v>4716</v>
      </c>
      <c r="I188" s="21" t="s">
        <v>4717</v>
      </c>
      <c r="J188" s="24" t="s">
        <v>4718</v>
      </c>
      <c r="K188" s="21" t="s">
        <v>4719</v>
      </c>
      <c r="L188" s="25" t="s">
        <v>4720</v>
      </c>
      <c r="M188" s="26" t="s">
        <v>28</v>
      </c>
      <c r="N188" s="24" t="s">
        <v>1433</v>
      </c>
      <c r="O188" s="24" t="s">
        <v>4721</v>
      </c>
      <c r="P188" s="27"/>
      <c r="Q188" s="27"/>
      <c r="R188" s="28" t="s">
        <v>4722</v>
      </c>
      <c r="S188" s="8" t="s">
        <v>4723</v>
      </c>
      <c r="T188" s="29" t="s">
        <v>4717</v>
      </c>
      <c r="U188" s="24"/>
    </row>
    <row r="189">
      <c r="A189" s="30">
        <v>8.0050025E7</v>
      </c>
      <c r="B189" s="20" t="s">
        <v>4724</v>
      </c>
      <c r="C189" s="21">
        <v>0.037</v>
      </c>
      <c r="D189" s="21">
        <v>0.061</v>
      </c>
      <c r="E189" s="21">
        <v>0.02</v>
      </c>
      <c r="F189" s="22">
        <v>15.0</v>
      </c>
      <c r="G189" s="23"/>
      <c r="H189" s="24" t="s">
        <v>4716</v>
      </c>
      <c r="I189" s="21" t="s">
        <v>4717</v>
      </c>
      <c r="J189" s="24" t="s">
        <v>4725</v>
      </c>
      <c r="K189" s="21" t="s">
        <v>4726</v>
      </c>
      <c r="L189" s="25" t="s">
        <v>4727</v>
      </c>
      <c r="M189" s="26" t="s">
        <v>28</v>
      </c>
      <c r="N189" s="24" t="s">
        <v>1433</v>
      </c>
      <c r="O189" s="24" t="s">
        <v>4721</v>
      </c>
      <c r="P189" s="27"/>
      <c r="Q189" s="27"/>
      <c r="R189" s="31" t="s">
        <v>4728</v>
      </c>
      <c r="S189" s="33" t="s">
        <v>4729</v>
      </c>
      <c r="T189" s="29" t="s">
        <v>4717</v>
      </c>
      <c r="U189" s="24"/>
    </row>
    <row r="190">
      <c r="A190" s="30">
        <v>7.290008464611E12</v>
      </c>
      <c r="B190" s="20" t="s">
        <v>4693</v>
      </c>
      <c r="C190" s="21">
        <v>0.06</v>
      </c>
      <c r="D190" s="21">
        <v>0.197</v>
      </c>
      <c r="E190" s="21">
        <v>0.06</v>
      </c>
      <c r="F190" s="22">
        <v>5.0</v>
      </c>
      <c r="G190" s="23"/>
      <c r="H190" s="24" t="s">
        <v>4679</v>
      </c>
      <c r="I190" s="21" t="s">
        <v>4680</v>
      </c>
      <c r="J190" s="24" t="s">
        <v>4694</v>
      </c>
      <c r="K190" s="21" t="s">
        <v>4695</v>
      </c>
      <c r="L190" s="25" t="s">
        <v>4696</v>
      </c>
      <c r="M190" s="26" t="s">
        <v>28</v>
      </c>
      <c r="N190" s="24" t="s">
        <v>2158</v>
      </c>
      <c r="O190" s="24" t="s">
        <v>2166</v>
      </c>
      <c r="P190" s="27"/>
      <c r="Q190" s="27"/>
      <c r="R190" s="28" t="s">
        <v>4697</v>
      </c>
      <c r="S190" s="8" t="s">
        <v>4698</v>
      </c>
      <c r="T190" s="29" t="s">
        <v>4692</v>
      </c>
      <c r="U190" s="24"/>
    </row>
    <row r="191">
      <c r="A191" s="30">
        <v>7.290000135151E12</v>
      </c>
      <c r="B191" s="20" t="s">
        <v>4686</v>
      </c>
      <c r="C191" s="21">
        <v>0.06</v>
      </c>
      <c r="D191" s="21">
        <v>0.197</v>
      </c>
      <c r="E191" s="21">
        <v>0.06</v>
      </c>
      <c r="F191" s="22">
        <v>5.0</v>
      </c>
      <c r="G191" s="23"/>
      <c r="H191" s="24" t="s">
        <v>4679</v>
      </c>
      <c r="I191" s="21" t="s">
        <v>4680</v>
      </c>
      <c r="J191" s="24" t="s">
        <v>4687</v>
      </c>
      <c r="K191" s="21" t="s">
        <v>4688</v>
      </c>
      <c r="L191" s="25" t="s">
        <v>4689</v>
      </c>
      <c r="M191" s="26" t="s">
        <v>28</v>
      </c>
      <c r="N191" s="24" t="s">
        <v>2158</v>
      </c>
      <c r="O191" s="24" t="s">
        <v>2166</v>
      </c>
      <c r="P191" s="27"/>
      <c r="Q191" s="27"/>
      <c r="R191" s="28" t="s">
        <v>4690</v>
      </c>
      <c r="S191" s="8" t="s">
        <v>4691</v>
      </c>
      <c r="T191" s="29" t="s">
        <v>4692</v>
      </c>
      <c r="U191" s="24"/>
    </row>
    <row r="192">
      <c r="A192" s="30">
        <v>7.290000327624E12</v>
      </c>
      <c r="B192" s="20" t="s">
        <v>4678</v>
      </c>
      <c r="C192" s="21">
        <v>0.098</v>
      </c>
      <c r="D192" s="21">
        <v>0.335</v>
      </c>
      <c r="E192" s="21">
        <v>0.098</v>
      </c>
      <c r="F192" s="22">
        <v>3.0</v>
      </c>
      <c r="G192" s="23"/>
      <c r="H192" s="24" t="s">
        <v>4679</v>
      </c>
      <c r="I192" s="21" t="s">
        <v>4680</v>
      </c>
      <c r="J192" s="24" t="s">
        <v>4681</v>
      </c>
      <c r="K192" s="21" t="s">
        <v>4682</v>
      </c>
      <c r="L192" s="25" t="s">
        <v>5189</v>
      </c>
      <c r="M192" s="26" t="s">
        <v>37</v>
      </c>
      <c r="N192" s="24" t="s">
        <v>2158</v>
      </c>
      <c r="O192" s="24" t="s">
        <v>2159</v>
      </c>
      <c r="P192" s="27"/>
      <c r="Q192" s="27"/>
      <c r="R192" s="31" t="s">
        <v>4684</v>
      </c>
      <c r="S192" s="8" t="s">
        <v>4685</v>
      </c>
      <c r="T192" s="29" t="e">
        <v>#N/A</v>
      </c>
      <c r="U192" s="24"/>
    </row>
    <row r="193">
      <c r="A193" s="30">
        <v>7.290000072753E12</v>
      </c>
      <c r="B193" s="20" t="s">
        <v>5190</v>
      </c>
      <c r="C193" s="21">
        <v>0.09999999</v>
      </c>
      <c r="D193" s="21">
        <v>0.154</v>
      </c>
      <c r="E193" s="21">
        <v>0.087</v>
      </c>
      <c r="F193" s="22">
        <v>3.0</v>
      </c>
      <c r="G193" s="23"/>
      <c r="H193" s="24" t="s">
        <v>4708</v>
      </c>
      <c r="I193" s="21" t="s">
        <v>5191</v>
      </c>
      <c r="J193" s="24" t="s">
        <v>4710</v>
      </c>
      <c r="K193" s="21" t="s">
        <v>4711</v>
      </c>
      <c r="L193" s="25" t="s">
        <v>4712</v>
      </c>
      <c r="M193" s="26" t="s">
        <v>37</v>
      </c>
      <c r="N193" s="24" t="s">
        <v>1262</v>
      </c>
      <c r="O193" s="24" t="s">
        <v>1263</v>
      </c>
      <c r="P193" s="27"/>
      <c r="Q193" s="27"/>
      <c r="R193" s="31" t="s">
        <v>4713</v>
      </c>
      <c r="S193" s="8" t="s">
        <v>4714</v>
      </c>
      <c r="T193" s="29" t="e">
        <v>#N/A</v>
      </c>
      <c r="U193" s="24"/>
    </row>
    <row r="194">
      <c r="A194" s="30">
        <v>7.2917367E7</v>
      </c>
      <c r="B194" s="20" t="s">
        <v>4552</v>
      </c>
      <c r="C194" s="21">
        <v>0.135</v>
      </c>
      <c r="D194" s="21">
        <v>0.05</v>
      </c>
      <c r="E194" s="21">
        <v>0.02</v>
      </c>
      <c r="F194" s="22">
        <v>15.0</v>
      </c>
      <c r="G194" s="23"/>
      <c r="H194" s="24" t="s">
        <v>4553</v>
      </c>
      <c r="I194" s="21" t="s">
        <v>4554</v>
      </c>
      <c r="J194" s="24" t="s">
        <v>4555</v>
      </c>
      <c r="K194" s="21" t="s">
        <v>4556</v>
      </c>
      <c r="L194" s="25" t="s">
        <v>4557</v>
      </c>
      <c r="M194" s="26" t="s">
        <v>28</v>
      </c>
      <c r="N194" s="24" t="s">
        <v>501</v>
      </c>
      <c r="O194" s="24" t="s">
        <v>502</v>
      </c>
      <c r="P194" s="27"/>
      <c r="Q194" s="27"/>
      <c r="R194" s="31" t="s">
        <v>4558</v>
      </c>
      <c r="S194" s="8" t="s">
        <v>4559</v>
      </c>
      <c r="T194" s="29" t="s">
        <v>4554</v>
      </c>
      <c r="U194" s="24"/>
    </row>
    <row r="195">
      <c r="A195" s="30">
        <v>7.290107945332E12</v>
      </c>
      <c r="B195" s="20" t="s">
        <v>236</v>
      </c>
      <c r="C195" s="21">
        <v>0.08</v>
      </c>
      <c r="D195" s="21">
        <v>0.112</v>
      </c>
      <c r="E195" s="21">
        <v>0.03</v>
      </c>
      <c r="F195" s="22">
        <v>10.0</v>
      </c>
      <c r="G195" s="23"/>
      <c r="H195" s="32" t="s">
        <v>237</v>
      </c>
      <c r="I195" s="21" t="s">
        <v>198</v>
      </c>
      <c r="J195" s="24" t="s">
        <v>238</v>
      </c>
      <c r="K195" s="21" t="s">
        <v>239</v>
      </c>
      <c r="L195" s="25" t="s">
        <v>240</v>
      </c>
      <c r="M195" s="26" t="s">
        <v>28</v>
      </c>
      <c r="N195" s="24" t="s">
        <v>185</v>
      </c>
      <c r="O195" s="24" t="s">
        <v>241</v>
      </c>
      <c r="P195" s="27"/>
      <c r="Q195" s="27"/>
      <c r="R195" s="31" t="s">
        <v>242</v>
      </c>
      <c r="S195" s="33" t="s">
        <v>243</v>
      </c>
      <c r="T195" s="29" t="s">
        <v>198</v>
      </c>
      <c r="U195" s="24"/>
    </row>
    <row r="196">
      <c r="A196" s="30">
        <v>8.9079310036E12</v>
      </c>
      <c r="B196" s="20" t="s">
        <v>4699</v>
      </c>
      <c r="C196" s="21">
        <v>0.13</v>
      </c>
      <c r="D196" s="21">
        <v>0.19</v>
      </c>
      <c r="E196" s="21">
        <v>0.05</v>
      </c>
      <c r="F196" s="22">
        <v>6.0</v>
      </c>
      <c r="G196" s="23"/>
      <c r="H196" s="24" t="s">
        <v>4700</v>
      </c>
      <c r="I196" s="21" t="s">
        <v>4701</v>
      </c>
      <c r="J196" s="24" t="s">
        <v>4702</v>
      </c>
      <c r="K196" s="21" t="s">
        <v>4703</v>
      </c>
      <c r="L196" s="25" t="s">
        <v>4704</v>
      </c>
      <c r="M196" s="26" t="s">
        <v>37</v>
      </c>
      <c r="N196" s="24" t="s">
        <v>109</v>
      </c>
      <c r="O196" s="24" t="s">
        <v>3867</v>
      </c>
      <c r="P196" s="27"/>
      <c r="Q196" s="27"/>
      <c r="R196" s="28" t="s">
        <v>4705</v>
      </c>
      <c r="S196" s="8" t="s">
        <v>4706</v>
      </c>
      <c r="T196" s="29" t="e">
        <v>#N/A</v>
      </c>
      <c r="U196" s="21" t="s">
        <v>113</v>
      </c>
    </row>
    <row r="197">
      <c r="A197" s="30">
        <v>7.290110326999E12</v>
      </c>
      <c r="B197" s="20" t="s">
        <v>4960</v>
      </c>
      <c r="C197" s="21">
        <v>0.06</v>
      </c>
      <c r="D197" s="21">
        <v>0.17</v>
      </c>
      <c r="E197" s="21">
        <v>0.075</v>
      </c>
      <c r="F197" s="22">
        <v>4.0</v>
      </c>
      <c r="G197" s="23"/>
      <c r="H197" s="24" t="s">
        <v>4955</v>
      </c>
      <c r="I197" s="21" t="s">
        <v>4956</v>
      </c>
      <c r="J197" s="24" t="s">
        <v>4961</v>
      </c>
      <c r="K197" s="21" t="s">
        <v>4962</v>
      </c>
      <c r="L197" s="25" t="s">
        <v>4963</v>
      </c>
      <c r="M197" s="26" t="s">
        <v>28</v>
      </c>
      <c r="N197" s="24" t="s">
        <v>700</v>
      </c>
      <c r="O197" s="24" t="s">
        <v>1078</v>
      </c>
      <c r="P197" s="27"/>
      <c r="Q197" s="27"/>
      <c r="R197" s="31" t="s">
        <v>4964</v>
      </c>
      <c r="S197" s="33" t="s">
        <v>4965</v>
      </c>
      <c r="T197" s="29" t="s">
        <v>4966</v>
      </c>
      <c r="U197" s="24"/>
    </row>
    <row r="198">
      <c r="A198" s="30">
        <v>7.501013101447E12</v>
      </c>
      <c r="B198" s="20" t="s">
        <v>2000</v>
      </c>
      <c r="C198" s="21">
        <v>0.068</v>
      </c>
      <c r="D198" s="21">
        <v>0.175</v>
      </c>
      <c r="E198" s="21">
        <v>0.068</v>
      </c>
      <c r="F198" s="22">
        <v>4.0</v>
      </c>
      <c r="G198" s="23"/>
      <c r="H198" s="24" t="s">
        <v>2001</v>
      </c>
      <c r="I198" s="21" t="s">
        <v>1951</v>
      </c>
      <c r="J198" s="24" t="s">
        <v>2002</v>
      </c>
      <c r="K198" s="21" t="s">
        <v>2003</v>
      </c>
      <c r="L198" s="25" t="s">
        <v>2004</v>
      </c>
      <c r="M198" s="26" t="s">
        <v>28</v>
      </c>
      <c r="N198" s="24" t="s">
        <v>1555</v>
      </c>
      <c r="O198" s="24" t="s">
        <v>1556</v>
      </c>
      <c r="P198" s="27"/>
      <c r="Q198" s="27"/>
      <c r="R198" s="28" t="s">
        <v>2005</v>
      </c>
      <c r="S198" s="8" t="s">
        <v>2006</v>
      </c>
      <c r="T198" s="29" t="s">
        <v>1951</v>
      </c>
      <c r="U198" s="24"/>
    </row>
    <row r="199">
      <c r="A199" s="30">
        <v>7.290110323066E12</v>
      </c>
      <c r="B199" s="20" t="s">
        <v>1663</v>
      </c>
      <c r="C199" s="21">
        <v>0.062</v>
      </c>
      <c r="D199" s="21">
        <v>0.173</v>
      </c>
      <c r="E199" s="21">
        <v>0.075</v>
      </c>
      <c r="F199" s="22">
        <v>4.0</v>
      </c>
      <c r="G199" s="23"/>
      <c r="H199" s="32" t="s">
        <v>1664</v>
      </c>
      <c r="I199" s="21" t="s">
        <v>1665</v>
      </c>
      <c r="J199" s="24" t="s">
        <v>1666</v>
      </c>
      <c r="K199" s="21" t="s">
        <v>1667</v>
      </c>
      <c r="L199" s="25" t="s">
        <v>1668</v>
      </c>
      <c r="M199" s="26" t="s">
        <v>28</v>
      </c>
      <c r="N199" s="24" t="s">
        <v>1021</v>
      </c>
      <c r="O199" s="24" t="s">
        <v>1044</v>
      </c>
      <c r="P199" s="27"/>
      <c r="Q199" s="27"/>
      <c r="R199" s="31" t="s">
        <v>1669</v>
      </c>
      <c r="S199" s="33" t="s">
        <v>1670</v>
      </c>
      <c r="T199" s="29" t="s">
        <v>1671</v>
      </c>
      <c r="U199" s="24"/>
    </row>
    <row r="200">
      <c r="A200" s="30">
        <v>7.290110323073E12</v>
      </c>
      <c r="B200" s="20" t="s">
        <v>1672</v>
      </c>
      <c r="C200" s="21">
        <v>0.062</v>
      </c>
      <c r="D200" s="21">
        <v>0.173</v>
      </c>
      <c r="E200" s="21">
        <v>0.075</v>
      </c>
      <c r="F200" s="22">
        <v>4.0</v>
      </c>
      <c r="G200" s="23"/>
      <c r="H200" s="32" t="s">
        <v>1664</v>
      </c>
      <c r="I200" s="21" t="s">
        <v>1665</v>
      </c>
      <c r="J200" s="24" t="s">
        <v>1673</v>
      </c>
      <c r="K200" s="21" t="s">
        <v>1674</v>
      </c>
      <c r="L200" s="25" t="s">
        <v>1675</v>
      </c>
      <c r="M200" s="26" t="s">
        <v>28</v>
      </c>
      <c r="N200" s="24" t="s">
        <v>1021</v>
      </c>
      <c r="O200" s="24" t="s">
        <v>1044</v>
      </c>
      <c r="P200" s="27"/>
      <c r="Q200" s="27"/>
      <c r="R200" s="31" t="s">
        <v>1676</v>
      </c>
      <c r="S200" s="33" t="s">
        <v>1677</v>
      </c>
      <c r="T200" s="29" t="s">
        <v>1671</v>
      </c>
      <c r="U200" s="24"/>
    </row>
    <row r="201">
      <c r="A201" s="30">
        <v>7.290110321703E12</v>
      </c>
      <c r="B201" s="20" t="s">
        <v>4980</v>
      </c>
      <c r="C201" s="21">
        <v>0.073</v>
      </c>
      <c r="D201" s="21">
        <v>0.072</v>
      </c>
      <c r="E201" s="21">
        <v>0.075</v>
      </c>
      <c r="F201" s="22">
        <v>4.0</v>
      </c>
      <c r="G201" s="23"/>
      <c r="H201" s="32" t="s">
        <v>1664</v>
      </c>
      <c r="I201" s="21" t="s">
        <v>4973</v>
      </c>
      <c r="J201" s="24" t="s">
        <v>4981</v>
      </c>
      <c r="K201" s="21" t="s">
        <v>4982</v>
      </c>
      <c r="L201" s="25" t="s">
        <v>4983</v>
      </c>
      <c r="M201" s="26" t="s">
        <v>28</v>
      </c>
      <c r="N201" s="24" t="s">
        <v>1021</v>
      </c>
      <c r="O201" s="24" t="s">
        <v>1022</v>
      </c>
      <c r="P201" s="27"/>
      <c r="Q201" s="27"/>
      <c r="R201" s="28" t="s">
        <v>4984</v>
      </c>
      <c r="S201" s="8" t="s">
        <v>4985</v>
      </c>
      <c r="T201" s="29" t="s">
        <v>4979</v>
      </c>
      <c r="U201" s="24"/>
    </row>
    <row r="202">
      <c r="A202" s="30">
        <v>7.29011032168E12</v>
      </c>
      <c r="B202" s="20" t="s">
        <v>4971</v>
      </c>
      <c r="C202" s="21">
        <v>0.073</v>
      </c>
      <c r="D202" s="21">
        <v>0.072</v>
      </c>
      <c r="E202" s="21">
        <v>0.075</v>
      </c>
      <c r="F202" s="22">
        <v>4.0</v>
      </c>
      <c r="G202" s="23"/>
      <c r="H202" s="32" t="s">
        <v>1664</v>
      </c>
      <c r="I202" s="21" t="s">
        <v>4973</v>
      </c>
      <c r="J202" s="24" t="s">
        <v>4974</v>
      </c>
      <c r="K202" s="21" t="s">
        <v>4975</v>
      </c>
      <c r="L202" s="25" t="s">
        <v>4976</v>
      </c>
      <c r="M202" s="26" t="s">
        <v>28</v>
      </c>
      <c r="N202" s="24" t="s">
        <v>1021</v>
      </c>
      <c r="O202" s="24" t="s">
        <v>1022</v>
      </c>
      <c r="P202" s="27"/>
      <c r="Q202" s="27"/>
      <c r="R202" s="28" t="s">
        <v>4977</v>
      </c>
      <c r="S202" s="8" t="s">
        <v>4978</v>
      </c>
      <c r="T202" s="29" t="s">
        <v>4979</v>
      </c>
      <c r="U202" s="24"/>
    </row>
    <row r="203">
      <c r="A203" s="30">
        <v>40080.0</v>
      </c>
      <c r="B203" s="20" t="s">
        <v>5017</v>
      </c>
      <c r="C203" s="21">
        <v>0.073</v>
      </c>
      <c r="D203" s="21">
        <v>0.072</v>
      </c>
      <c r="E203" s="21">
        <v>0.075</v>
      </c>
      <c r="F203" s="22">
        <v>4.0</v>
      </c>
      <c r="G203" s="23"/>
      <c r="H203" s="32" t="s">
        <v>1664</v>
      </c>
      <c r="I203" s="21" t="s">
        <v>4987</v>
      </c>
      <c r="J203" s="24" t="s">
        <v>5018</v>
      </c>
      <c r="K203" s="21" t="s">
        <v>5019</v>
      </c>
      <c r="L203" s="25" t="s">
        <v>5020</v>
      </c>
      <c r="M203" s="26" t="s">
        <v>28</v>
      </c>
      <c r="N203" s="24" t="s">
        <v>1021</v>
      </c>
      <c r="O203" s="24" t="s">
        <v>1022</v>
      </c>
      <c r="P203" s="27"/>
      <c r="Q203" s="27"/>
      <c r="R203" s="28" t="s">
        <v>5021</v>
      </c>
      <c r="S203" s="8" t="s">
        <v>5022</v>
      </c>
      <c r="T203" s="29" t="s">
        <v>4987</v>
      </c>
      <c r="U203" s="24"/>
    </row>
    <row r="204">
      <c r="A204" s="30">
        <v>40042.0</v>
      </c>
      <c r="B204" s="20" t="s">
        <v>5023</v>
      </c>
      <c r="C204" s="21">
        <v>0.073</v>
      </c>
      <c r="D204" s="21">
        <v>0.072</v>
      </c>
      <c r="E204" s="21">
        <v>0.075</v>
      </c>
      <c r="F204" s="22">
        <v>4.0</v>
      </c>
      <c r="G204" s="23"/>
      <c r="H204" s="32" t="s">
        <v>1664</v>
      </c>
      <c r="I204" s="21" t="s">
        <v>4987</v>
      </c>
      <c r="J204" s="24" t="s">
        <v>5024</v>
      </c>
      <c r="K204" s="21" t="s">
        <v>5025</v>
      </c>
      <c r="L204" s="25" t="s">
        <v>5026</v>
      </c>
      <c r="M204" s="26" t="s">
        <v>28</v>
      </c>
      <c r="N204" s="24" t="s">
        <v>1021</v>
      </c>
      <c r="O204" s="24" t="s">
        <v>1022</v>
      </c>
      <c r="P204" s="27"/>
      <c r="Q204" s="27"/>
      <c r="R204" s="28" t="s">
        <v>5027</v>
      </c>
      <c r="S204" s="8" t="s">
        <v>5028</v>
      </c>
      <c r="T204" s="29" t="s">
        <v>4987</v>
      </c>
      <c r="U204" s="24"/>
    </row>
    <row r="205">
      <c r="A205" s="30">
        <v>7.290110326241E12</v>
      </c>
      <c r="B205" s="20" t="s">
        <v>4993</v>
      </c>
      <c r="C205" s="21">
        <v>0.08</v>
      </c>
      <c r="D205" s="21">
        <v>0.07</v>
      </c>
      <c r="E205" s="21">
        <v>0.065</v>
      </c>
      <c r="F205" s="22">
        <v>5.0</v>
      </c>
      <c r="G205" s="23"/>
      <c r="H205" s="32" t="s">
        <v>1664</v>
      </c>
      <c r="I205" s="21" t="s">
        <v>4987</v>
      </c>
      <c r="J205" s="24" t="s">
        <v>4994</v>
      </c>
      <c r="K205" s="21" t="s">
        <v>4995</v>
      </c>
      <c r="L205" s="25" t="s">
        <v>4996</v>
      </c>
      <c r="M205" s="26" t="s">
        <v>28</v>
      </c>
      <c r="N205" s="24" t="s">
        <v>1021</v>
      </c>
      <c r="O205" s="24" t="s">
        <v>1022</v>
      </c>
      <c r="P205" s="27"/>
      <c r="Q205" s="27"/>
      <c r="R205" s="28" t="s">
        <v>4997</v>
      </c>
      <c r="S205" s="8" t="s">
        <v>4998</v>
      </c>
      <c r="T205" s="29" t="s">
        <v>4987</v>
      </c>
      <c r="U205" s="24"/>
    </row>
    <row r="206">
      <c r="A206" s="30">
        <v>7.290110326234E12</v>
      </c>
      <c r="B206" s="20" t="s">
        <v>4999</v>
      </c>
      <c r="C206" s="21">
        <v>0.08</v>
      </c>
      <c r="D206" s="21">
        <v>0.072</v>
      </c>
      <c r="E206" s="21">
        <v>0.075</v>
      </c>
      <c r="F206" s="22">
        <v>4.0</v>
      </c>
      <c r="G206" s="23"/>
      <c r="H206" s="32" t="s">
        <v>1664</v>
      </c>
      <c r="I206" s="21" t="s">
        <v>4987</v>
      </c>
      <c r="J206" s="24" t="s">
        <v>5000</v>
      </c>
      <c r="K206" s="21" t="s">
        <v>5001</v>
      </c>
      <c r="L206" s="25" t="s">
        <v>5002</v>
      </c>
      <c r="M206" s="26" t="s">
        <v>28</v>
      </c>
      <c r="N206" s="24" t="s">
        <v>1021</v>
      </c>
      <c r="O206" s="24" t="s">
        <v>1022</v>
      </c>
      <c r="P206" s="27"/>
      <c r="Q206" s="27"/>
      <c r="R206" s="31" t="s">
        <v>5003</v>
      </c>
      <c r="S206" s="8" t="s">
        <v>5004</v>
      </c>
      <c r="T206" s="29" t="s">
        <v>4987</v>
      </c>
      <c r="U206" s="24"/>
    </row>
    <row r="207">
      <c r="A207" s="30">
        <v>7.29011032621E12</v>
      </c>
      <c r="B207" s="20" t="s">
        <v>4986</v>
      </c>
      <c r="C207" s="21">
        <v>0.08</v>
      </c>
      <c r="D207" s="21">
        <v>0.07</v>
      </c>
      <c r="E207" s="21">
        <v>0.065</v>
      </c>
      <c r="F207" s="22">
        <v>5.0</v>
      </c>
      <c r="G207" s="23"/>
      <c r="H207" s="32" t="s">
        <v>1664</v>
      </c>
      <c r="I207" s="21" t="s">
        <v>4987</v>
      </c>
      <c r="J207" s="24" t="s">
        <v>4988</v>
      </c>
      <c r="K207" s="21" t="s">
        <v>4989</v>
      </c>
      <c r="L207" s="25" t="s">
        <v>4990</v>
      </c>
      <c r="M207" s="26" t="s">
        <v>28</v>
      </c>
      <c r="N207" s="24" t="s">
        <v>1021</v>
      </c>
      <c r="O207" s="24" t="s">
        <v>1022</v>
      </c>
      <c r="P207" s="27"/>
      <c r="Q207" s="27"/>
      <c r="R207" s="28" t="s">
        <v>4991</v>
      </c>
      <c r="S207" s="8" t="s">
        <v>4992</v>
      </c>
      <c r="T207" s="29" t="s">
        <v>4987</v>
      </c>
      <c r="U207" s="24"/>
    </row>
    <row r="208">
      <c r="A208" s="30">
        <v>7.290110324636E12</v>
      </c>
      <c r="B208" s="20" t="s">
        <v>5005</v>
      </c>
      <c r="C208" s="21">
        <v>0.075</v>
      </c>
      <c r="D208" s="21">
        <v>0.08</v>
      </c>
      <c r="E208" s="21">
        <v>0.075</v>
      </c>
      <c r="F208" s="22">
        <v>4.0</v>
      </c>
      <c r="G208" s="23"/>
      <c r="H208" s="32" t="s">
        <v>1664</v>
      </c>
      <c r="I208" s="21" t="s">
        <v>4987</v>
      </c>
      <c r="J208" s="24" t="s">
        <v>5006</v>
      </c>
      <c r="K208" s="21" t="s">
        <v>5007</v>
      </c>
      <c r="L208" s="25" t="s">
        <v>5008</v>
      </c>
      <c r="M208" s="26" t="s">
        <v>28</v>
      </c>
      <c r="N208" s="24" t="s">
        <v>1021</v>
      </c>
      <c r="O208" s="24" t="s">
        <v>1022</v>
      </c>
      <c r="P208" s="27"/>
      <c r="Q208" s="27"/>
      <c r="R208" s="28" t="s">
        <v>5009</v>
      </c>
      <c r="S208" s="8" t="s">
        <v>5010</v>
      </c>
      <c r="T208" s="29" t="s">
        <v>4987</v>
      </c>
      <c r="U208" s="24"/>
    </row>
    <row r="209">
      <c r="A209" s="30">
        <v>7.290110324612E12</v>
      </c>
      <c r="B209" s="20" t="s">
        <v>5011</v>
      </c>
      <c r="C209" s="21">
        <v>0.075</v>
      </c>
      <c r="D209" s="21">
        <v>0.08</v>
      </c>
      <c r="E209" s="21">
        <v>0.075</v>
      </c>
      <c r="F209" s="22">
        <v>4.0</v>
      </c>
      <c r="G209" s="23"/>
      <c r="H209" s="32" t="s">
        <v>1664</v>
      </c>
      <c r="I209" s="21" t="s">
        <v>4987</v>
      </c>
      <c r="J209" s="24" t="s">
        <v>5012</v>
      </c>
      <c r="K209" s="21" t="s">
        <v>5013</v>
      </c>
      <c r="L209" s="25" t="s">
        <v>5014</v>
      </c>
      <c r="M209" s="26" t="s">
        <v>28</v>
      </c>
      <c r="N209" s="24" t="s">
        <v>1021</v>
      </c>
      <c r="O209" s="24" t="s">
        <v>1022</v>
      </c>
      <c r="P209" s="27"/>
      <c r="Q209" s="27"/>
      <c r="R209" s="28" t="s">
        <v>5015</v>
      </c>
      <c r="S209" s="8" t="s">
        <v>5016</v>
      </c>
      <c r="T209" s="29" t="s">
        <v>4987</v>
      </c>
      <c r="U209" s="24"/>
    </row>
    <row r="210">
      <c r="A210" s="30">
        <v>55336.0</v>
      </c>
      <c r="B210" s="20" t="s">
        <v>5029</v>
      </c>
      <c r="C210" s="21">
        <v>0.06</v>
      </c>
      <c r="D210" s="21">
        <v>0.16</v>
      </c>
      <c r="E210" s="21">
        <v>0.05</v>
      </c>
      <c r="F210" s="22">
        <v>6.0</v>
      </c>
      <c r="G210" s="23"/>
      <c r="H210" s="32" t="s">
        <v>1664</v>
      </c>
      <c r="I210" s="21" t="s">
        <v>5030</v>
      </c>
      <c r="J210" s="24" t="s">
        <v>5031</v>
      </c>
      <c r="K210" s="21" t="s">
        <v>5032</v>
      </c>
      <c r="L210" s="25" t="s">
        <v>5033</v>
      </c>
      <c r="M210" s="26" t="s">
        <v>28</v>
      </c>
      <c r="N210" s="24" t="s">
        <v>1021</v>
      </c>
      <c r="O210" s="24" t="s">
        <v>1044</v>
      </c>
      <c r="P210" s="27"/>
      <c r="Q210" s="27"/>
      <c r="R210" s="28" t="s">
        <v>5034</v>
      </c>
      <c r="S210" s="8" t="s">
        <v>5035</v>
      </c>
      <c r="T210" s="29" t="s">
        <v>5030</v>
      </c>
      <c r="U210" s="24"/>
    </row>
    <row r="211">
      <c r="A211" s="30">
        <v>55329.0</v>
      </c>
      <c r="B211" s="20" t="s">
        <v>5036</v>
      </c>
      <c r="C211" s="21">
        <v>0.06</v>
      </c>
      <c r="D211" s="21">
        <v>0.16</v>
      </c>
      <c r="E211" s="21">
        <v>0.055</v>
      </c>
      <c r="F211" s="22">
        <v>5.0</v>
      </c>
      <c r="G211" s="23"/>
      <c r="H211" s="32" t="s">
        <v>1664</v>
      </c>
      <c r="I211" s="21" t="s">
        <v>5030</v>
      </c>
      <c r="J211" s="24" t="s">
        <v>5037</v>
      </c>
      <c r="K211" s="21" t="s">
        <v>5038</v>
      </c>
      <c r="L211" s="25" t="s">
        <v>5039</v>
      </c>
      <c r="M211" s="26" t="s">
        <v>28</v>
      </c>
      <c r="N211" s="24" t="s">
        <v>1021</v>
      </c>
      <c r="O211" s="24" t="s">
        <v>1044</v>
      </c>
      <c r="P211" s="27"/>
      <c r="Q211" s="27"/>
      <c r="R211" s="28" t="s">
        <v>5040</v>
      </c>
      <c r="S211" s="8" t="s">
        <v>5041</v>
      </c>
      <c r="T211" s="29" t="s">
        <v>5030</v>
      </c>
      <c r="U211" s="24"/>
    </row>
    <row r="212">
      <c r="A212" s="30">
        <v>42855.0</v>
      </c>
      <c r="B212" s="20" t="s">
        <v>694</v>
      </c>
      <c r="C212" s="21">
        <v>0.09</v>
      </c>
      <c r="D212" s="21">
        <v>0.145</v>
      </c>
      <c r="E212" s="21">
        <v>0.09</v>
      </c>
      <c r="F212" s="22">
        <v>3.0</v>
      </c>
      <c r="G212" s="23"/>
      <c r="H212" s="32" t="s">
        <v>695</v>
      </c>
      <c r="I212" s="21" t="s">
        <v>696</v>
      </c>
      <c r="J212" s="24" t="s">
        <v>697</v>
      </c>
      <c r="K212" s="21" t="s">
        <v>698</v>
      </c>
      <c r="L212" s="25" t="s">
        <v>699</v>
      </c>
      <c r="M212" s="26" t="s">
        <v>28</v>
      </c>
      <c r="N212" s="24" t="s">
        <v>700</v>
      </c>
      <c r="O212" s="24" t="s">
        <v>701</v>
      </c>
      <c r="P212" s="27"/>
      <c r="Q212" s="27"/>
      <c r="R212" s="28" t="s">
        <v>702</v>
      </c>
      <c r="S212" s="8" t="s">
        <v>703</v>
      </c>
      <c r="T212" s="29" t="s">
        <v>696</v>
      </c>
      <c r="U212" s="24"/>
    </row>
    <row r="213">
      <c r="A213" s="30">
        <v>41858.0</v>
      </c>
      <c r="B213" s="20" t="s">
        <v>1328</v>
      </c>
      <c r="C213" s="21">
        <v>0.07</v>
      </c>
      <c r="D213" s="21">
        <v>0.075</v>
      </c>
      <c r="E213" s="21">
        <v>0.075</v>
      </c>
      <c r="F213" s="22">
        <v>4.0</v>
      </c>
      <c r="G213" s="23"/>
      <c r="H213" s="32" t="s">
        <v>695</v>
      </c>
      <c r="I213" s="21" t="s">
        <v>1329</v>
      </c>
      <c r="J213" s="24" t="s">
        <v>1330</v>
      </c>
      <c r="K213" s="21" t="s">
        <v>1331</v>
      </c>
      <c r="L213" s="25" t="s">
        <v>1332</v>
      </c>
      <c r="M213" s="26" t="s">
        <v>28</v>
      </c>
      <c r="N213" s="24" t="s">
        <v>975</v>
      </c>
      <c r="O213" s="24" t="s">
        <v>976</v>
      </c>
      <c r="P213" s="27"/>
      <c r="Q213" s="27"/>
      <c r="R213" s="28" t="s">
        <v>1333</v>
      </c>
      <c r="S213" s="8" t="s">
        <v>1334</v>
      </c>
      <c r="T213" s="29" t="s">
        <v>1329</v>
      </c>
      <c r="U213" s="24"/>
    </row>
    <row r="214">
      <c r="A214" s="30">
        <v>7.290014763678E12</v>
      </c>
      <c r="B214" s="20" t="s">
        <v>1716</v>
      </c>
      <c r="C214" s="21">
        <v>0.07</v>
      </c>
      <c r="D214" s="21">
        <v>0.15</v>
      </c>
      <c r="E214" s="21">
        <v>0.075</v>
      </c>
      <c r="F214" s="22">
        <v>4.0</v>
      </c>
      <c r="G214" s="23"/>
      <c r="H214" s="32" t="s">
        <v>695</v>
      </c>
      <c r="I214" s="21" t="s">
        <v>1717</v>
      </c>
      <c r="J214" s="24" t="s">
        <v>1718</v>
      </c>
      <c r="K214" s="21" t="s">
        <v>1719</v>
      </c>
      <c r="L214" s="25" t="s">
        <v>1720</v>
      </c>
      <c r="M214" s="26" t="s">
        <v>28</v>
      </c>
      <c r="N214" s="24" t="s">
        <v>700</v>
      </c>
      <c r="O214" s="24" t="s">
        <v>1078</v>
      </c>
      <c r="P214" s="27"/>
      <c r="Q214" s="27"/>
      <c r="R214" s="28" t="s">
        <v>1721</v>
      </c>
      <c r="S214" s="8" t="s">
        <v>1722</v>
      </c>
      <c r="T214" s="29" t="s">
        <v>1717</v>
      </c>
      <c r="U214" s="24"/>
    </row>
    <row r="215">
      <c r="A215" s="30">
        <v>7.290110563448E12</v>
      </c>
      <c r="B215" s="20" t="s">
        <v>1885</v>
      </c>
      <c r="C215" s="21">
        <v>0.08</v>
      </c>
      <c r="D215" s="21">
        <v>0.13</v>
      </c>
      <c r="E215" s="21">
        <v>0.08</v>
      </c>
      <c r="F215" s="22">
        <v>4.0</v>
      </c>
      <c r="G215" s="23"/>
      <c r="H215" s="32" t="s">
        <v>695</v>
      </c>
      <c r="I215" s="21" t="s">
        <v>1886</v>
      </c>
      <c r="J215" s="24" t="s">
        <v>1887</v>
      </c>
      <c r="K215" s="21" t="s">
        <v>1888</v>
      </c>
      <c r="L215" s="25" t="s">
        <v>1889</v>
      </c>
      <c r="M215" s="26" t="s">
        <v>28</v>
      </c>
      <c r="N215" s="24" t="s">
        <v>700</v>
      </c>
      <c r="O215" s="24" t="s">
        <v>1078</v>
      </c>
      <c r="P215" s="27"/>
      <c r="Q215" s="27"/>
      <c r="R215" s="31" t="s">
        <v>1890</v>
      </c>
      <c r="S215" s="8" t="s">
        <v>1891</v>
      </c>
      <c r="T215" s="29" t="s">
        <v>1886</v>
      </c>
      <c r="U215" s="24"/>
    </row>
    <row r="216">
      <c r="A216" s="30">
        <v>7.290110563431E12</v>
      </c>
      <c r="B216" s="20" t="s">
        <v>1892</v>
      </c>
      <c r="C216" s="21">
        <v>0.08</v>
      </c>
      <c r="D216" s="21">
        <v>0.13</v>
      </c>
      <c r="E216" s="21">
        <v>0.08</v>
      </c>
      <c r="F216" s="22">
        <v>4.0</v>
      </c>
      <c r="G216" s="23"/>
      <c r="H216" s="32" t="s">
        <v>695</v>
      </c>
      <c r="I216" s="21" t="s">
        <v>1886</v>
      </c>
      <c r="J216" s="24" t="s">
        <v>1893</v>
      </c>
      <c r="K216" s="21" t="s">
        <v>1894</v>
      </c>
      <c r="L216" s="25" t="s">
        <v>1895</v>
      </c>
      <c r="M216" s="26" t="s">
        <v>28</v>
      </c>
      <c r="N216" s="24" t="s">
        <v>700</v>
      </c>
      <c r="O216" s="24" t="s">
        <v>1078</v>
      </c>
      <c r="P216" s="27"/>
      <c r="Q216" s="27"/>
      <c r="R216" s="28" t="s">
        <v>1896</v>
      </c>
      <c r="S216" s="8" t="s">
        <v>1897</v>
      </c>
      <c r="T216" s="29" t="s">
        <v>1886</v>
      </c>
      <c r="U216" s="24"/>
    </row>
    <row r="217">
      <c r="A217" s="30">
        <v>7.290110564742E12</v>
      </c>
      <c r="B217" s="20" t="s">
        <v>1898</v>
      </c>
      <c r="C217" s="21">
        <v>0.08</v>
      </c>
      <c r="D217" s="21">
        <v>0.13</v>
      </c>
      <c r="E217" s="21">
        <v>0.08</v>
      </c>
      <c r="F217" s="22">
        <v>4.0</v>
      </c>
      <c r="G217" s="23"/>
      <c r="H217" s="32" t="s">
        <v>695</v>
      </c>
      <c r="I217" s="21" t="s">
        <v>1886</v>
      </c>
      <c r="J217" s="24" t="s">
        <v>1899</v>
      </c>
      <c r="K217" s="21" t="s">
        <v>1900</v>
      </c>
      <c r="L217" s="25" t="s">
        <v>1901</v>
      </c>
      <c r="M217" s="26" t="s">
        <v>28</v>
      </c>
      <c r="N217" s="24" t="s">
        <v>700</v>
      </c>
      <c r="O217" s="24" t="s">
        <v>1078</v>
      </c>
      <c r="P217" s="27"/>
      <c r="Q217" s="27"/>
      <c r="R217" s="31" t="s">
        <v>1902</v>
      </c>
      <c r="S217" s="33" t="s">
        <v>1903</v>
      </c>
      <c r="T217" s="29" t="s">
        <v>1886</v>
      </c>
      <c r="U217" s="24"/>
    </row>
    <row r="218">
      <c r="A218" s="30">
        <v>7.290107933315E12</v>
      </c>
      <c r="B218" s="20" t="s">
        <v>2773</v>
      </c>
      <c r="C218" s="21">
        <v>0.073</v>
      </c>
      <c r="D218" s="21">
        <v>0.232</v>
      </c>
      <c r="E218" s="21">
        <v>0.075</v>
      </c>
      <c r="F218" s="22">
        <v>4.0</v>
      </c>
      <c r="G218" s="23"/>
      <c r="H218" s="32" t="s">
        <v>695</v>
      </c>
      <c r="I218" s="21" t="s">
        <v>2774</v>
      </c>
      <c r="J218" s="24" t="s">
        <v>2775</v>
      </c>
      <c r="K218" s="21" t="s">
        <v>2776</v>
      </c>
      <c r="L218" s="25" t="s">
        <v>2777</v>
      </c>
      <c r="M218" s="26" t="s">
        <v>28</v>
      </c>
      <c r="N218" s="24" t="s">
        <v>907</v>
      </c>
      <c r="O218" s="24" t="s">
        <v>908</v>
      </c>
      <c r="P218" s="27"/>
      <c r="Q218" s="27"/>
      <c r="R218" s="28" t="s">
        <v>2778</v>
      </c>
      <c r="S218" s="8" t="s">
        <v>2779</v>
      </c>
      <c r="T218" s="29" t="s">
        <v>2774</v>
      </c>
      <c r="U218" s="24"/>
    </row>
    <row r="219">
      <c r="A219" s="30">
        <v>7.290107932134E12</v>
      </c>
      <c r="B219" s="20" t="s">
        <v>2788</v>
      </c>
      <c r="C219" s="21">
        <v>0.08</v>
      </c>
      <c r="D219" s="21">
        <v>0.232</v>
      </c>
      <c r="E219" s="21">
        <v>0.07</v>
      </c>
      <c r="F219" s="22">
        <v>4.0</v>
      </c>
      <c r="G219" s="23"/>
      <c r="H219" s="32" t="s">
        <v>695</v>
      </c>
      <c r="I219" s="21" t="s">
        <v>2789</v>
      </c>
      <c r="J219" s="24" t="s">
        <v>2790</v>
      </c>
      <c r="K219" s="21" t="s">
        <v>2791</v>
      </c>
      <c r="L219" s="25" t="s">
        <v>2792</v>
      </c>
      <c r="M219" s="26" t="s">
        <v>28</v>
      </c>
      <c r="N219" s="24" t="s">
        <v>907</v>
      </c>
      <c r="O219" s="24" t="s">
        <v>908</v>
      </c>
      <c r="P219" s="27"/>
      <c r="Q219" s="27"/>
      <c r="R219" s="28" t="s">
        <v>2793</v>
      </c>
      <c r="S219" s="8" t="s">
        <v>2794</v>
      </c>
      <c r="T219" s="29" t="s">
        <v>2789</v>
      </c>
      <c r="U219" s="24"/>
    </row>
    <row r="220">
      <c r="A220" s="30">
        <v>7.29010793208E12</v>
      </c>
      <c r="B220" s="20" t="s">
        <v>2802</v>
      </c>
      <c r="C220" s="21">
        <v>0.08</v>
      </c>
      <c r="D220" s="21">
        <v>0.23</v>
      </c>
      <c r="E220" s="21">
        <v>0.08</v>
      </c>
      <c r="F220" s="22">
        <v>4.0</v>
      </c>
      <c r="G220" s="23"/>
      <c r="H220" s="32" t="s">
        <v>695</v>
      </c>
      <c r="I220" s="21" t="s">
        <v>2803</v>
      </c>
      <c r="J220" s="24" t="s">
        <v>2804</v>
      </c>
      <c r="K220" s="21" t="s">
        <v>2805</v>
      </c>
      <c r="L220" s="25" t="s">
        <v>2806</v>
      </c>
      <c r="M220" s="26" t="s">
        <v>28</v>
      </c>
      <c r="N220" s="24" t="s">
        <v>907</v>
      </c>
      <c r="O220" s="24" t="s">
        <v>908</v>
      </c>
      <c r="P220" s="27"/>
      <c r="Q220" s="27"/>
      <c r="R220" s="28" t="s">
        <v>2807</v>
      </c>
      <c r="S220" s="8" t="s">
        <v>2808</v>
      </c>
      <c r="T220" s="29" t="s">
        <v>2803</v>
      </c>
      <c r="U220" s="24"/>
    </row>
    <row r="221">
      <c r="A221" s="30">
        <v>7.290110565497E12</v>
      </c>
      <c r="B221" s="20" t="s">
        <v>3894</v>
      </c>
      <c r="C221" s="21">
        <v>0.062</v>
      </c>
      <c r="D221" s="21">
        <v>0.173</v>
      </c>
      <c r="E221" s="21">
        <v>0.075</v>
      </c>
      <c r="F221" s="22">
        <v>4.0</v>
      </c>
      <c r="G221" s="23"/>
      <c r="H221" s="32" t="s">
        <v>695</v>
      </c>
      <c r="I221" s="21" t="s">
        <v>3895</v>
      </c>
      <c r="J221" s="24" t="s">
        <v>3896</v>
      </c>
      <c r="K221" s="21" t="s">
        <v>3897</v>
      </c>
      <c r="L221" s="25" t="s">
        <v>3898</v>
      </c>
      <c r="M221" s="26" t="s">
        <v>28</v>
      </c>
      <c r="N221" s="24" t="s">
        <v>700</v>
      </c>
      <c r="O221" s="24" t="s">
        <v>1078</v>
      </c>
      <c r="P221" s="27"/>
      <c r="Q221" s="27"/>
      <c r="R221" s="31" t="s">
        <v>3899</v>
      </c>
      <c r="S221" s="33" t="s">
        <v>3900</v>
      </c>
      <c r="T221" s="29" t="s">
        <v>3895</v>
      </c>
      <c r="U221" s="24"/>
    </row>
    <row r="222">
      <c r="A222" s="30">
        <v>7.29011234342E12</v>
      </c>
      <c r="B222" s="20" t="s">
        <v>3901</v>
      </c>
      <c r="C222" s="21">
        <v>0.062</v>
      </c>
      <c r="D222" s="21">
        <v>0.173</v>
      </c>
      <c r="E222" s="21">
        <v>0.065</v>
      </c>
      <c r="F222" s="22">
        <v>5.0</v>
      </c>
      <c r="G222" s="23"/>
      <c r="H222" s="32" t="s">
        <v>695</v>
      </c>
      <c r="I222" s="21" t="s">
        <v>1081</v>
      </c>
      <c r="J222" s="24" t="s">
        <v>3902</v>
      </c>
      <c r="K222" s="21" t="s">
        <v>3903</v>
      </c>
      <c r="L222" s="25" t="s">
        <v>3904</v>
      </c>
      <c r="M222" s="26" t="s">
        <v>28</v>
      </c>
      <c r="N222" s="24" t="s">
        <v>700</v>
      </c>
      <c r="O222" s="24" t="s">
        <v>1078</v>
      </c>
      <c r="P222" s="27"/>
      <c r="Q222" s="27"/>
      <c r="R222" s="31" t="s">
        <v>3905</v>
      </c>
      <c r="S222" s="33" t="s">
        <v>3906</v>
      </c>
      <c r="T222" s="29" t="s">
        <v>1081</v>
      </c>
      <c r="U222" s="24"/>
    </row>
    <row r="223">
      <c r="A223" s="30">
        <v>7.290107951395E12</v>
      </c>
      <c r="B223" s="20" t="s">
        <v>3919</v>
      </c>
      <c r="C223" s="21">
        <v>0.055</v>
      </c>
      <c r="D223" s="21">
        <v>0.16</v>
      </c>
      <c r="E223" s="21">
        <v>0.055</v>
      </c>
      <c r="F223" s="22">
        <v>5.0</v>
      </c>
      <c r="G223" s="23"/>
      <c r="H223" s="32" t="s">
        <v>695</v>
      </c>
      <c r="I223" s="21" t="s">
        <v>1081</v>
      </c>
      <c r="J223" s="24" t="s">
        <v>3920</v>
      </c>
      <c r="K223" s="21" t="s">
        <v>3921</v>
      </c>
      <c r="L223" s="25" t="s">
        <v>3922</v>
      </c>
      <c r="M223" s="26" t="s">
        <v>28</v>
      </c>
      <c r="N223" s="24" t="s">
        <v>700</v>
      </c>
      <c r="O223" s="24" t="s">
        <v>1078</v>
      </c>
      <c r="P223" s="27"/>
      <c r="Q223" s="27"/>
      <c r="R223" s="28" t="s">
        <v>3923</v>
      </c>
      <c r="S223" s="8" t="s">
        <v>3924</v>
      </c>
      <c r="T223" s="29" t="s">
        <v>1081</v>
      </c>
      <c r="U223" s="24"/>
    </row>
    <row r="224">
      <c r="A224" s="30">
        <v>7.290107951401E12</v>
      </c>
      <c r="B224" s="20" t="s">
        <v>3907</v>
      </c>
      <c r="C224" s="21">
        <v>0.055</v>
      </c>
      <c r="D224" s="21">
        <v>0.16</v>
      </c>
      <c r="E224" s="21">
        <v>0.055</v>
      </c>
      <c r="F224" s="22">
        <v>5.0</v>
      </c>
      <c r="G224" s="23"/>
      <c r="H224" s="32" t="s">
        <v>695</v>
      </c>
      <c r="I224" s="21" t="s">
        <v>1081</v>
      </c>
      <c r="J224" s="24" t="s">
        <v>3908</v>
      </c>
      <c r="K224" s="21" t="s">
        <v>3909</v>
      </c>
      <c r="L224" s="25" t="s">
        <v>3910</v>
      </c>
      <c r="M224" s="26" t="s">
        <v>28</v>
      </c>
      <c r="N224" s="24" t="s">
        <v>700</v>
      </c>
      <c r="O224" s="24" t="s">
        <v>1078</v>
      </c>
      <c r="P224" s="27"/>
      <c r="Q224" s="27"/>
      <c r="R224" s="28" t="s">
        <v>3911</v>
      </c>
      <c r="S224" s="8" t="s">
        <v>3912</v>
      </c>
      <c r="T224" s="29" t="s">
        <v>1081</v>
      </c>
      <c r="U224" s="24"/>
    </row>
    <row r="225">
      <c r="A225" s="30">
        <v>7.290107954976E12</v>
      </c>
      <c r="B225" s="20" t="s">
        <v>3913</v>
      </c>
      <c r="C225" s="21">
        <v>0.06</v>
      </c>
      <c r="D225" s="21">
        <v>0.175</v>
      </c>
      <c r="E225" s="21">
        <v>0.06</v>
      </c>
      <c r="F225" s="22">
        <v>5.0</v>
      </c>
      <c r="G225" s="23"/>
      <c r="H225" s="32" t="s">
        <v>695</v>
      </c>
      <c r="I225" s="21" t="s">
        <v>1081</v>
      </c>
      <c r="J225" s="24" t="s">
        <v>3914</v>
      </c>
      <c r="K225" s="21" t="s">
        <v>3915</v>
      </c>
      <c r="L225" s="25" t="s">
        <v>3916</v>
      </c>
      <c r="M225" s="26" t="s">
        <v>28</v>
      </c>
      <c r="N225" s="24" t="s">
        <v>700</v>
      </c>
      <c r="O225" s="24" t="s">
        <v>1078</v>
      </c>
      <c r="P225" s="27"/>
      <c r="Q225" s="27"/>
      <c r="R225" s="28" t="s">
        <v>3917</v>
      </c>
      <c r="S225" s="8" t="s">
        <v>3918</v>
      </c>
      <c r="T225" s="29" t="s">
        <v>1081</v>
      </c>
      <c r="U225" s="24"/>
    </row>
    <row r="226">
      <c r="A226" s="30">
        <v>7.290112330987E12</v>
      </c>
      <c r="B226" s="20" t="s">
        <v>3931</v>
      </c>
      <c r="C226" s="21">
        <v>0.062</v>
      </c>
      <c r="D226" s="21">
        <v>0.173</v>
      </c>
      <c r="E226" s="21">
        <v>0.075</v>
      </c>
      <c r="F226" s="22">
        <v>4.0</v>
      </c>
      <c r="G226" s="23"/>
      <c r="H226" s="32" t="s">
        <v>695</v>
      </c>
      <c r="I226" s="21" t="s">
        <v>1081</v>
      </c>
      <c r="J226" s="24" t="s">
        <v>3932</v>
      </c>
      <c r="K226" s="21" t="s">
        <v>3933</v>
      </c>
      <c r="L226" s="25" t="s">
        <v>3934</v>
      </c>
      <c r="M226" s="26" t="s">
        <v>28</v>
      </c>
      <c r="N226" s="24" t="s">
        <v>700</v>
      </c>
      <c r="O226" s="24" t="s">
        <v>1078</v>
      </c>
      <c r="P226" s="27"/>
      <c r="Q226" s="27"/>
      <c r="R226" s="28" t="s">
        <v>3935</v>
      </c>
      <c r="S226" s="8" t="s">
        <v>3936</v>
      </c>
      <c r="T226" s="29" t="s">
        <v>1081</v>
      </c>
      <c r="U226" s="24"/>
    </row>
    <row r="227">
      <c r="A227" s="30">
        <v>7.29011233097E12</v>
      </c>
      <c r="B227" s="20" t="s">
        <v>3925</v>
      </c>
      <c r="C227" s="21">
        <v>0.062</v>
      </c>
      <c r="D227" s="21">
        <v>0.173</v>
      </c>
      <c r="E227" s="21">
        <v>0.062</v>
      </c>
      <c r="F227" s="22">
        <v>5.0</v>
      </c>
      <c r="G227" s="23"/>
      <c r="H227" s="32" t="s">
        <v>695</v>
      </c>
      <c r="I227" s="21" t="s">
        <v>1081</v>
      </c>
      <c r="J227" s="24" t="s">
        <v>3926</v>
      </c>
      <c r="K227" s="21" t="s">
        <v>3927</v>
      </c>
      <c r="L227" s="25" t="s">
        <v>3928</v>
      </c>
      <c r="M227" s="26" t="s">
        <v>28</v>
      </c>
      <c r="N227" s="24" t="s">
        <v>700</v>
      </c>
      <c r="O227" s="24" t="s">
        <v>1078</v>
      </c>
      <c r="P227" s="27"/>
      <c r="Q227" s="27"/>
      <c r="R227" s="28" t="s">
        <v>3929</v>
      </c>
      <c r="S227" s="8" t="s">
        <v>3930</v>
      </c>
      <c r="T227" s="29" t="s">
        <v>1081</v>
      </c>
      <c r="U227" s="24"/>
    </row>
    <row r="228">
      <c r="A228" s="30">
        <v>7.290107933643E12</v>
      </c>
      <c r="B228" s="20" t="s">
        <v>4298</v>
      </c>
      <c r="C228" s="21">
        <v>0.06</v>
      </c>
      <c r="D228" s="21">
        <v>0.16</v>
      </c>
      <c r="E228" s="21">
        <v>0.04</v>
      </c>
      <c r="F228" s="22">
        <v>8.0</v>
      </c>
      <c r="G228" s="23"/>
      <c r="H228" s="32" t="s">
        <v>695</v>
      </c>
      <c r="I228" s="21" t="s">
        <v>4299</v>
      </c>
      <c r="J228" s="24" t="s">
        <v>4300</v>
      </c>
      <c r="K228" s="21" t="s">
        <v>4301</v>
      </c>
      <c r="L228" s="25" t="s">
        <v>4302</v>
      </c>
      <c r="M228" s="26" t="s">
        <v>28</v>
      </c>
      <c r="N228" s="24" t="s">
        <v>700</v>
      </c>
      <c r="O228" s="24" t="s">
        <v>1078</v>
      </c>
      <c r="P228" s="27"/>
      <c r="Q228" s="27"/>
      <c r="R228" s="28" t="s">
        <v>4303</v>
      </c>
      <c r="S228" s="8" t="s">
        <v>4304</v>
      </c>
      <c r="T228" s="29" t="s">
        <v>4299</v>
      </c>
      <c r="U228" s="24"/>
    </row>
    <row r="229">
      <c r="A229" s="30">
        <v>7.29010793365E12</v>
      </c>
      <c r="B229" s="20" t="s">
        <v>4305</v>
      </c>
      <c r="C229" s="21">
        <v>0.055</v>
      </c>
      <c r="D229" s="21">
        <v>0.16</v>
      </c>
      <c r="E229" s="21">
        <v>0.04</v>
      </c>
      <c r="F229" s="22">
        <v>8.0</v>
      </c>
      <c r="G229" s="23"/>
      <c r="H229" s="32" t="s">
        <v>695</v>
      </c>
      <c r="I229" s="21" t="s">
        <v>4299</v>
      </c>
      <c r="J229" s="24" t="s">
        <v>4306</v>
      </c>
      <c r="K229" s="21" t="s">
        <v>4307</v>
      </c>
      <c r="L229" s="25" t="s">
        <v>4308</v>
      </c>
      <c r="M229" s="26" t="s">
        <v>28</v>
      </c>
      <c r="N229" s="24" t="s">
        <v>700</v>
      </c>
      <c r="O229" s="24" t="s">
        <v>1078</v>
      </c>
      <c r="P229" s="27"/>
      <c r="Q229" s="27"/>
      <c r="R229" s="28" t="s">
        <v>4309</v>
      </c>
      <c r="S229" s="8" t="s">
        <v>4310</v>
      </c>
      <c r="T229" s="29" t="s">
        <v>4299</v>
      </c>
      <c r="U229" s="24"/>
    </row>
    <row r="230">
      <c r="A230" s="30">
        <v>3029907.0</v>
      </c>
      <c r="B230" s="20" t="s">
        <v>5042</v>
      </c>
      <c r="C230" s="21">
        <v>0.08</v>
      </c>
      <c r="D230" s="21">
        <v>0.26</v>
      </c>
      <c r="E230" s="21">
        <v>0.08</v>
      </c>
      <c r="F230" s="22">
        <v>4.0</v>
      </c>
      <c r="G230" s="23"/>
      <c r="H230" s="32" t="s">
        <v>695</v>
      </c>
      <c r="I230" s="21" t="s">
        <v>5043</v>
      </c>
      <c r="J230" s="24" t="s">
        <v>5044</v>
      </c>
      <c r="K230" s="21" t="s">
        <v>5045</v>
      </c>
      <c r="L230" s="25" t="s">
        <v>5046</v>
      </c>
      <c r="M230" s="26" t="s">
        <v>28</v>
      </c>
      <c r="N230" s="24" t="s">
        <v>700</v>
      </c>
      <c r="O230" s="24" t="s">
        <v>709</v>
      </c>
      <c r="P230" s="27"/>
      <c r="Q230" s="27"/>
      <c r="R230" s="31" t="s">
        <v>5047</v>
      </c>
      <c r="S230" s="8" t="s">
        <v>5048</v>
      </c>
      <c r="T230" s="29" t="s">
        <v>5043</v>
      </c>
      <c r="U230" s="24"/>
    </row>
    <row r="231">
      <c r="A231" s="30">
        <v>3029532.0</v>
      </c>
      <c r="B231" s="20" t="s">
        <v>5049</v>
      </c>
      <c r="C231" s="21">
        <v>0.08</v>
      </c>
      <c r="D231" s="21">
        <v>0.26</v>
      </c>
      <c r="E231" s="21">
        <v>0.075</v>
      </c>
      <c r="F231" s="22">
        <v>4.0</v>
      </c>
      <c r="G231" s="23"/>
      <c r="H231" s="32" t="s">
        <v>695</v>
      </c>
      <c r="I231" s="21" t="s">
        <v>5043</v>
      </c>
      <c r="J231" s="24" t="s">
        <v>5050</v>
      </c>
      <c r="K231" s="21" t="s">
        <v>5051</v>
      </c>
      <c r="L231" s="25" t="s">
        <v>5052</v>
      </c>
      <c r="M231" s="26" t="s">
        <v>28</v>
      </c>
      <c r="N231" s="24" t="s">
        <v>700</v>
      </c>
      <c r="O231" s="24" t="s">
        <v>709</v>
      </c>
      <c r="P231" s="27"/>
      <c r="Q231" s="27"/>
      <c r="R231" s="31" t="s">
        <v>5053</v>
      </c>
      <c r="S231" s="33" t="s">
        <v>5054</v>
      </c>
      <c r="T231" s="29" t="s">
        <v>5043</v>
      </c>
      <c r="U231" s="24"/>
    </row>
    <row r="232">
      <c r="A232" s="30">
        <v>3029181.0</v>
      </c>
      <c r="B232" s="20" t="s">
        <v>5055</v>
      </c>
      <c r="C232" s="21">
        <v>0.08</v>
      </c>
      <c r="D232" s="21">
        <v>0.26</v>
      </c>
      <c r="E232" s="21">
        <v>0.075</v>
      </c>
      <c r="F232" s="22">
        <v>4.0</v>
      </c>
      <c r="G232" s="23"/>
      <c r="H232" s="32" t="s">
        <v>695</v>
      </c>
      <c r="I232" s="21" t="s">
        <v>5043</v>
      </c>
      <c r="J232" s="24" t="s">
        <v>5056</v>
      </c>
      <c r="K232" s="21" t="s">
        <v>5057</v>
      </c>
      <c r="L232" s="25" t="s">
        <v>5058</v>
      </c>
      <c r="M232" s="26" t="s">
        <v>28</v>
      </c>
      <c r="N232" s="24" t="s">
        <v>700</v>
      </c>
      <c r="O232" s="24" t="s">
        <v>709</v>
      </c>
      <c r="P232" s="27"/>
      <c r="Q232" s="27"/>
      <c r="R232" s="31" t="s">
        <v>5059</v>
      </c>
      <c r="S232" s="8" t="s">
        <v>5060</v>
      </c>
      <c r="T232" s="29" t="s">
        <v>5043</v>
      </c>
      <c r="U232" s="24"/>
    </row>
    <row r="233">
      <c r="A233" s="30">
        <v>7.290011438142E12</v>
      </c>
      <c r="B233" s="20" t="s">
        <v>5068</v>
      </c>
      <c r="C233" s="21">
        <v>0.06</v>
      </c>
      <c r="D233" s="21">
        <v>0.17</v>
      </c>
      <c r="E233" s="21">
        <v>0.065</v>
      </c>
      <c r="F233" s="22">
        <v>5.0</v>
      </c>
      <c r="G233" s="23"/>
      <c r="H233" s="32" t="s">
        <v>695</v>
      </c>
      <c r="I233" s="21" t="s">
        <v>5062</v>
      </c>
      <c r="J233" s="24" t="s">
        <v>5069</v>
      </c>
      <c r="K233" s="21" t="s">
        <v>5070</v>
      </c>
      <c r="L233" s="25" t="s">
        <v>5071</v>
      </c>
      <c r="M233" s="26" t="s">
        <v>28</v>
      </c>
      <c r="N233" s="24" t="s">
        <v>700</v>
      </c>
      <c r="O233" s="24" t="s">
        <v>1078</v>
      </c>
      <c r="P233" s="27"/>
      <c r="Q233" s="27"/>
      <c r="R233" s="28" t="s">
        <v>5072</v>
      </c>
      <c r="S233" s="8" t="s">
        <v>5073</v>
      </c>
      <c r="T233" s="29" t="s">
        <v>5062</v>
      </c>
      <c r="U233" s="24"/>
    </row>
    <row r="234">
      <c r="A234" s="30">
        <v>7.290112341112E12</v>
      </c>
      <c r="B234" s="20" t="s">
        <v>5074</v>
      </c>
      <c r="C234" s="21">
        <v>0.06</v>
      </c>
      <c r="D234" s="21">
        <v>0.17</v>
      </c>
      <c r="E234" s="21">
        <v>0.055</v>
      </c>
      <c r="F234" s="22">
        <v>5.0</v>
      </c>
      <c r="G234" s="23"/>
      <c r="H234" s="32" t="s">
        <v>695</v>
      </c>
      <c r="I234" s="21" t="s">
        <v>5062</v>
      </c>
      <c r="J234" s="24" t="s">
        <v>5075</v>
      </c>
      <c r="K234" s="21" t="s">
        <v>5076</v>
      </c>
      <c r="L234" s="25" t="s">
        <v>5077</v>
      </c>
      <c r="M234" s="26" t="s">
        <v>28</v>
      </c>
      <c r="N234" s="24" t="s">
        <v>700</v>
      </c>
      <c r="O234" s="24" t="s">
        <v>1078</v>
      </c>
      <c r="P234" s="27"/>
      <c r="Q234" s="27"/>
      <c r="R234" s="28" t="s">
        <v>5078</v>
      </c>
      <c r="S234" s="8" t="s">
        <v>5079</v>
      </c>
      <c r="T234" s="29" t="s">
        <v>5062</v>
      </c>
      <c r="U234" s="24"/>
    </row>
    <row r="235">
      <c r="A235" s="30">
        <v>7.290105368959E12</v>
      </c>
      <c r="B235" s="20" t="s">
        <v>5061</v>
      </c>
      <c r="C235" s="21">
        <v>0.06</v>
      </c>
      <c r="D235" s="21">
        <v>0.17</v>
      </c>
      <c r="E235" s="21">
        <v>0.075</v>
      </c>
      <c r="F235" s="22">
        <v>4.0</v>
      </c>
      <c r="G235" s="23"/>
      <c r="H235" s="32" t="s">
        <v>695</v>
      </c>
      <c r="I235" s="21" t="s">
        <v>5062</v>
      </c>
      <c r="J235" s="24" t="s">
        <v>5063</v>
      </c>
      <c r="K235" s="21" t="s">
        <v>5064</v>
      </c>
      <c r="L235" s="25" t="s">
        <v>5065</v>
      </c>
      <c r="M235" s="26" t="s">
        <v>28</v>
      </c>
      <c r="N235" s="24" t="s">
        <v>700</v>
      </c>
      <c r="O235" s="24" t="s">
        <v>1078</v>
      </c>
      <c r="P235" s="27"/>
      <c r="Q235" s="27"/>
      <c r="R235" s="28" t="s">
        <v>5066</v>
      </c>
      <c r="S235" s="8" t="s">
        <v>5067</v>
      </c>
      <c r="T235" s="29" t="s">
        <v>5062</v>
      </c>
      <c r="U235" s="24"/>
    </row>
    <row r="236">
      <c r="A236" s="30">
        <v>3029433.0</v>
      </c>
      <c r="B236" s="20" t="s">
        <v>5080</v>
      </c>
      <c r="C236" s="21">
        <v>0.06</v>
      </c>
      <c r="D236" s="21">
        <v>0.17</v>
      </c>
      <c r="E236" s="21">
        <v>0.056</v>
      </c>
      <c r="F236" s="22">
        <v>5.0</v>
      </c>
      <c r="G236" s="23"/>
      <c r="H236" s="32" t="s">
        <v>695</v>
      </c>
      <c r="I236" s="21" t="s">
        <v>5062</v>
      </c>
      <c r="J236" s="24" t="s">
        <v>5081</v>
      </c>
      <c r="K236" s="21" t="s">
        <v>5082</v>
      </c>
      <c r="L236" s="25" t="s">
        <v>5083</v>
      </c>
      <c r="M236" s="26" t="s">
        <v>28</v>
      </c>
      <c r="N236" s="24" t="s">
        <v>700</v>
      </c>
      <c r="O236" s="24" t="s">
        <v>1078</v>
      </c>
      <c r="P236" s="27"/>
      <c r="Q236" s="27"/>
      <c r="R236" s="28" t="s">
        <v>5084</v>
      </c>
      <c r="S236" s="8" t="s">
        <v>5085</v>
      </c>
      <c r="T236" s="29" t="s">
        <v>5062</v>
      </c>
      <c r="U236" s="24"/>
    </row>
    <row r="237">
      <c r="A237" s="30">
        <v>7.290112342621E12</v>
      </c>
      <c r="B237" s="20" t="s">
        <v>5086</v>
      </c>
      <c r="C237" s="21">
        <v>0.06</v>
      </c>
      <c r="D237" s="21">
        <v>0.17</v>
      </c>
      <c r="E237" s="21">
        <v>0.06</v>
      </c>
      <c r="F237" s="22">
        <v>5.0</v>
      </c>
      <c r="G237" s="23"/>
      <c r="H237" s="32" t="s">
        <v>695</v>
      </c>
      <c r="I237" s="21" t="s">
        <v>5062</v>
      </c>
      <c r="J237" s="24" t="s">
        <v>5087</v>
      </c>
      <c r="K237" s="21" t="s">
        <v>5088</v>
      </c>
      <c r="L237" s="25" t="s">
        <v>5089</v>
      </c>
      <c r="M237" s="26" t="s">
        <v>28</v>
      </c>
      <c r="N237" s="24" t="s">
        <v>700</v>
      </c>
      <c r="O237" s="24" t="s">
        <v>1078</v>
      </c>
      <c r="P237" s="27"/>
      <c r="Q237" s="27"/>
      <c r="R237" s="28" t="s">
        <v>5090</v>
      </c>
      <c r="S237" s="8" t="s">
        <v>5091</v>
      </c>
      <c r="T237" s="29" t="s">
        <v>5062</v>
      </c>
      <c r="U237" s="24"/>
    </row>
    <row r="238">
      <c r="A238" s="30">
        <v>7.29000017147E12</v>
      </c>
      <c r="B238" s="20" t="s">
        <v>2078</v>
      </c>
      <c r="C238" s="21">
        <v>0.11</v>
      </c>
      <c r="D238" s="21">
        <v>0.065</v>
      </c>
      <c r="E238" s="21">
        <v>0.02</v>
      </c>
      <c r="F238" s="22">
        <v>15.0</v>
      </c>
      <c r="G238" s="23"/>
      <c r="H238" s="24" t="s">
        <v>2061</v>
      </c>
      <c r="I238" s="21" t="s">
        <v>2062</v>
      </c>
      <c r="J238" s="24" t="s">
        <v>2079</v>
      </c>
      <c r="K238" s="21" t="s">
        <v>2080</v>
      </c>
      <c r="L238" s="25" t="s">
        <v>2081</v>
      </c>
      <c r="M238" s="26" t="s">
        <v>37</v>
      </c>
      <c r="N238" s="24" t="s">
        <v>501</v>
      </c>
      <c r="O238" s="24" t="s">
        <v>502</v>
      </c>
      <c r="P238" s="27"/>
      <c r="Q238" s="27"/>
      <c r="R238" s="31" t="s">
        <v>2082</v>
      </c>
      <c r="S238" s="8" t="s">
        <v>2083</v>
      </c>
      <c r="T238" s="29" t="e">
        <v>#N/A</v>
      </c>
      <c r="U238" s="24"/>
    </row>
    <row r="239">
      <c r="A239" s="30">
        <v>7.290105361707E12</v>
      </c>
      <c r="B239" s="20" t="s">
        <v>2092</v>
      </c>
      <c r="C239" s="21">
        <v>0.11</v>
      </c>
      <c r="D239" s="21">
        <v>0.065</v>
      </c>
      <c r="E239" s="21">
        <v>0.02</v>
      </c>
      <c r="F239" s="22">
        <v>15.0</v>
      </c>
      <c r="G239" s="23"/>
      <c r="H239" s="24" t="s">
        <v>2061</v>
      </c>
      <c r="I239" s="21" t="s">
        <v>2062</v>
      </c>
      <c r="J239" s="24" t="s">
        <v>2093</v>
      </c>
      <c r="K239" s="21" t="s">
        <v>2094</v>
      </c>
      <c r="L239" s="25" t="s">
        <v>2095</v>
      </c>
      <c r="M239" s="26" t="s">
        <v>28</v>
      </c>
      <c r="N239" s="24" t="s">
        <v>501</v>
      </c>
      <c r="O239" s="24" t="s">
        <v>502</v>
      </c>
      <c r="P239" s="27"/>
      <c r="Q239" s="27"/>
      <c r="R239" s="31" t="s">
        <v>2096</v>
      </c>
      <c r="S239" s="33" t="s">
        <v>2097</v>
      </c>
      <c r="T239" s="29" t="s">
        <v>2062</v>
      </c>
      <c r="U239" s="24"/>
    </row>
    <row r="240">
      <c r="A240" s="30">
        <v>7.290105364302E12</v>
      </c>
      <c r="B240" s="20" t="s">
        <v>2060</v>
      </c>
      <c r="C240" s="21">
        <v>0.08</v>
      </c>
      <c r="D240" s="21">
        <v>0.142</v>
      </c>
      <c r="E240" s="21">
        <v>0.037</v>
      </c>
      <c r="F240" s="22">
        <v>8.0</v>
      </c>
      <c r="G240" s="23"/>
      <c r="H240" s="24" t="s">
        <v>2061</v>
      </c>
      <c r="I240" s="21" t="s">
        <v>2062</v>
      </c>
      <c r="J240" s="24" t="s">
        <v>2063</v>
      </c>
      <c r="K240" s="21" t="s">
        <v>2064</v>
      </c>
      <c r="L240" s="25" t="s">
        <v>2065</v>
      </c>
      <c r="M240" s="26" t="s">
        <v>28</v>
      </c>
      <c r="N240" s="24" t="s">
        <v>501</v>
      </c>
      <c r="O240" s="24" t="s">
        <v>729</v>
      </c>
      <c r="P240" s="27"/>
      <c r="Q240" s="27"/>
      <c r="R240" s="28" t="s">
        <v>2066</v>
      </c>
      <c r="S240" s="8" t="s">
        <v>2067</v>
      </c>
      <c r="T240" s="29" t="s">
        <v>2068</v>
      </c>
      <c r="U240" s="24"/>
    </row>
    <row r="241">
      <c r="A241" s="30">
        <v>7.290112347626E12</v>
      </c>
      <c r="B241" s="20" t="s">
        <v>2069</v>
      </c>
      <c r="C241" s="21">
        <v>0.07</v>
      </c>
      <c r="D241" s="21">
        <v>0.105</v>
      </c>
      <c r="E241" s="21">
        <v>0.05</v>
      </c>
      <c r="F241" s="22">
        <v>6.0</v>
      </c>
      <c r="G241" s="23"/>
      <c r="H241" s="24" t="s">
        <v>2061</v>
      </c>
      <c r="I241" s="21" t="s">
        <v>2062</v>
      </c>
      <c r="J241" s="24" t="s">
        <v>2072</v>
      </c>
      <c r="K241" s="21" t="s">
        <v>2073</v>
      </c>
      <c r="L241" s="25" t="s">
        <v>2074</v>
      </c>
      <c r="M241" s="26" t="s">
        <v>28</v>
      </c>
      <c r="N241" s="24" t="s">
        <v>501</v>
      </c>
      <c r="O241" s="24" t="s">
        <v>729</v>
      </c>
      <c r="P241" s="27"/>
      <c r="Q241" s="27"/>
      <c r="R241" s="28" t="s">
        <v>2075</v>
      </c>
      <c r="S241" s="8" t="s">
        <v>2076</v>
      </c>
      <c r="T241" s="29" t="s">
        <v>2077</v>
      </c>
      <c r="U241" s="24"/>
    </row>
    <row r="242">
      <c r="A242" s="30">
        <v>7.290107931397E12</v>
      </c>
      <c r="B242" s="20" t="s">
        <v>2085</v>
      </c>
      <c r="C242" s="21">
        <v>0.08</v>
      </c>
      <c r="D242" s="21">
        <v>0.142</v>
      </c>
      <c r="E242" s="21">
        <v>0.037</v>
      </c>
      <c r="F242" s="22">
        <v>8.0</v>
      </c>
      <c r="G242" s="23"/>
      <c r="H242" s="24" t="s">
        <v>2061</v>
      </c>
      <c r="I242" s="21" t="s">
        <v>2062</v>
      </c>
      <c r="J242" s="24" t="s">
        <v>2086</v>
      </c>
      <c r="K242" s="21" t="s">
        <v>2087</v>
      </c>
      <c r="L242" s="25" t="s">
        <v>2088</v>
      </c>
      <c r="M242" s="26" t="s">
        <v>28</v>
      </c>
      <c r="N242" s="24" t="s">
        <v>501</v>
      </c>
      <c r="O242" s="24" t="s">
        <v>729</v>
      </c>
      <c r="P242" s="27"/>
      <c r="Q242" s="27"/>
      <c r="R242" s="28" t="s">
        <v>2089</v>
      </c>
      <c r="S242" s="8" t="s">
        <v>2090</v>
      </c>
      <c r="T242" s="29" t="s">
        <v>2091</v>
      </c>
      <c r="U242" s="24"/>
    </row>
    <row r="243">
      <c r="A243" s="30">
        <v>7.290000110851E12</v>
      </c>
      <c r="B243" s="20" t="s">
        <v>2054</v>
      </c>
      <c r="C243" s="21">
        <v>0.14</v>
      </c>
      <c r="D243" s="21">
        <v>0.23</v>
      </c>
      <c r="E243" s="21">
        <v>0.04</v>
      </c>
      <c r="F243" s="22">
        <v>8.0</v>
      </c>
      <c r="G243" s="23"/>
      <c r="H243" s="24" t="s">
        <v>2047</v>
      </c>
      <c r="I243" s="21" t="s">
        <v>2048</v>
      </c>
      <c r="J243" s="24" t="s">
        <v>2055</v>
      </c>
      <c r="K243" s="21" t="s">
        <v>2056</v>
      </c>
      <c r="L243" s="25" t="s">
        <v>2057</v>
      </c>
      <c r="M243" s="26" t="s">
        <v>37</v>
      </c>
      <c r="N243" s="24" t="s">
        <v>109</v>
      </c>
      <c r="O243" s="24" t="s">
        <v>603</v>
      </c>
      <c r="P243" s="27"/>
      <c r="Q243" s="27"/>
      <c r="R243" s="31" t="s">
        <v>2058</v>
      </c>
      <c r="S243" s="33" t="s">
        <v>2059</v>
      </c>
      <c r="T243" s="29" t="e">
        <v>#N/A</v>
      </c>
      <c r="U243" s="21" t="s">
        <v>113</v>
      </c>
    </row>
    <row r="244">
      <c r="A244" s="30">
        <v>7.290000110844E12</v>
      </c>
      <c r="B244" s="20" t="s">
        <v>2046</v>
      </c>
      <c r="C244" s="21">
        <v>0.14</v>
      </c>
      <c r="D244" s="21">
        <v>0.23</v>
      </c>
      <c r="E244" s="21">
        <v>0.04</v>
      </c>
      <c r="F244" s="22">
        <v>8.0</v>
      </c>
      <c r="G244" s="23"/>
      <c r="H244" s="24" t="s">
        <v>2047</v>
      </c>
      <c r="I244" s="21" t="s">
        <v>2048</v>
      </c>
      <c r="J244" s="24" t="s">
        <v>2049</v>
      </c>
      <c r="K244" s="21" t="s">
        <v>2050</v>
      </c>
      <c r="L244" s="25" t="s">
        <v>2051</v>
      </c>
      <c r="M244" s="26" t="s">
        <v>37</v>
      </c>
      <c r="N244" s="24" t="s">
        <v>109</v>
      </c>
      <c r="O244" s="24" t="s">
        <v>603</v>
      </c>
      <c r="P244" s="27"/>
      <c r="Q244" s="27"/>
      <c r="R244" s="31" t="s">
        <v>2052</v>
      </c>
      <c r="S244" s="33" t="s">
        <v>2053</v>
      </c>
      <c r="T244" s="29" t="e">
        <v>#N/A</v>
      </c>
      <c r="U244" s="21" t="s">
        <v>113</v>
      </c>
    </row>
    <row r="245">
      <c r="A245" s="30">
        <v>7.290002022152E12</v>
      </c>
      <c r="B245" s="20" t="s">
        <v>586</v>
      </c>
      <c r="C245" s="21">
        <v>0.14</v>
      </c>
      <c r="D245" s="21">
        <v>0.24</v>
      </c>
      <c r="E245" s="21">
        <v>0.04</v>
      </c>
      <c r="F245" s="22">
        <v>8.0</v>
      </c>
      <c r="G245" s="23"/>
      <c r="H245" s="24" t="s">
        <v>587</v>
      </c>
      <c r="I245" s="21" t="s">
        <v>588</v>
      </c>
      <c r="J245" s="24" t="s">
        <v>589</v>
      </c>
      <c r="K245" s="21" t="s">
        <v>590</v>
      </c>
      <c r="L245" s="25" t="s">
        <v>591</v>
      </c>
      <c r="M245" s="26" t="s">
        <v>37</v>
      </c>
      <c r="N245" s="24" t="s">
        <v>592</v>
      </c>
      <c r="O245" s="24" t="s">
        <v>593</v>
      </c>
      <c r="P245" s="27"/>
      <c r="Q245" s="27"/>
      <c r="R245" s="28" t="s">
        <v>594</v>
      </c>
      <c r="S245" s="33" t="s">
        <v>595</v>
      </c>
      <c r="T245" s="29" t="e">
        <v>#N/A</v>
      </c>
      <c r="U245" s="24"/>
    </row>
    <row r="246">
      <c r="A246" s="30">
        <v>8.000380003761E12</v>
      </c>
      <c r="B246" s="20" t="s">
        <v>2393</v>
      </c>
      <c r="C246" s="21">
        <v>0.245</v>
      </c>
      <c r="D246" s="21">
        <v>0.075</v>
      </c>
      <c r="E246" s="21">
        <v>0.05</v>
      </c>
      <c r="F246" s="22">
        <v>6.0</v>
      </c>
      <c r="G246" s="23"/>
      <c r="H246" s="24" t="s">
        <v>2359</v>
      </c>
      <c r="I246" s="21" t="s">
        <v>2360</v>
      </c>
      <c r="J246" s="24" t="s">
        <v>2394</v>
      </c>
      <c r="K246" s="21" t="s">
        <v>2395</v>
      </c>
      <c r="L246" s="25" t="s">
        <v>2396</v>
      </c>
      <c r="M246" s="26" t="s">
        <v>28</v>
      </c>
      <c r="N246" s="24" t="s">
        <v>185</v>
      </c>
      <c r="O246" s="24" t="s">
        <v>186</v>
      </c>
      <c r="P246" s="27"/>
      <c r="Q246" s="27"/>
      <c r="R246" s="28" t="s">
        <v>2397</v>
      </c>
      <c r="S246" s="8" t="s">
        <v>2398</v>
      </c>
      <c r="T246" s="29" t="s">
        <v>2360</v>
      </c>
      <c r="U246" s="24"/>
    </row>
    <row r="247">
      <c r="A247" s="30">
        <v>8.000380153442E12</v>
      </c>
      <c r="B247" s="20" t="s">
        <v>2449</v>
      </c>
      <c r="C247" s="21">
        <v>0.195</v>
      </c>
      <c r="D247" s="21">
        <v>0.07</v>
      </c>
      <c r="E247" s="21">
        <v>0.02</v>
      </c>
      <c r="F247" s="22">
        <v>15.0</v>
      </c>
      <c r="G247" s="23"/>
      <c r="H247" s="24" t="s">
        <v>2359</v>
      </c>
      <c r="I247" s="21" t="s">
        <v>2360</v>
      </c>
      <c r="J247" s="24" t="s">
        <v>2450</v>
      </c>
      <c r="K247" s="21" t="s">
        <v>2451</v>
      </c>
      <c r="L247" s="25" t="s">
        <v>2452</v>
      </c>
      <c r="M247" s="26" t="s">
        <v>28</v>
      </c>
      <c r="N247" s="24" t="s">
        <v>185</v>
      </c>
      <c r="O247" s="24" t="s">
        <v>226</v>
      </c>
      <c r="P247" s="27"/>
      <c r="Q247" s="27"/>
      <c r="R247" s="28" t="s">
        <v>2453</v>
      </c>
      <c r="S247" s="8" t="s">
        <v>2454</v>
      </c>
      <c r="T247" s="29" t="s">
        <v>2360</v>
      </c>
      <c r="U247" s="24"/>
    </row>
    <row r="248">
      <c r="A248" s="30">
        <v>8.000380007219E12</v>
      </c>
      <c r="B248" s="20" t="s">
        <v>2424</v>
      </c>
      <c r="C248" s="21">
        <v>0.265</v>
      </c>
      <c r="D248" s="21">
        <v>0.09999999</v>
      </c>
      <c r="E248" s="21">
        <v>0.02</v>
      </c>
      <c r="F248" s="22">
        <v>15.0</v>
      </c>
      <c r="G248" s="23"/>
      <c r="H248" s="24" t="s">
        <v>2359</v>
      </c>
      <c r="I248" s="21" t="s">
        <v>2360</v>
      </c>
      <c r="J248" s="24" t="s">
        <v>2425</v>
      </c>
      <c r="K248" s="21" t="s">
        <v>2426</v>
      </c>
      <c r="L248" s="25" t="s">
        <v>2427</v>
      </c>
      <c r="M248" s="26" t="s">
        <v>28</v>
      </c>
      <c r="N248" s="24" t="s">
        <v>185</v>
      </c>
      <c r="O248" s="24" t="s">
        <v>226</v>
      </c>
      <c r="P248" s="27"/>
      <c r="Q248" s="27"/>
      <c r="R248" s="28" t="s">
        <v>2428</v>
      </c>
      <c r="S248" s="8" t="s">
        <v>2429</v>
      </c>
      <c r="T248" s="29" t="s">
        <v>2360</v>
      </c>
      <c r="U248" s="24"/>
    </row>
    <row r="249">
      <c r="A249" s="30">
        <v>8.000380153466E12</v>
      </c>
      <c r="B249" s="20" t="s">
        <v>2368</v>
      </c>
      <c r="C249" s="21">
        <v>0.195</v>
      </c>
      <c r="D249" s="21">
        <v>0.07</v>
      </c>
      <c r="E249" s="21">
        <v>0.02</v>
      </c>
      <c r="F249" s="22">
        <v>15.0</v>
      </c>
      <c r="G249" s="23"/>
      <c r="H249" s="24" t="s">
        <v>2359</v>
      </c>
      <c r="I249" s="21" t="s">
        <v>2360</v>
      </c>
      <c r="J249" s="24" t="s">
        <v>2369</v>
      </c>
      <c r="K249" s="21" t="s">
        <v>2370</v>
      </c>
      <c r="L249" s="25" t="s">
        <v>2371</v>
      </c>
      <c r="M249" s="26" t="s">
        <v>28</v>
      </c>
      <c r="N249" s="24" t="s">
        <v>185</v>
      </c>
      <c r="O249" s="24" t="s">
        <v>195</v>
      </c>
      <c r="P249" s="27"/>
      <c r="Q249" s="27"/>
      <c r="R249" s="31" t="s">
        <v>2372</v>
      </c>
      <c r="S249" s="33" t="s">
        <v>2373</v>
      </c>
      <c r="T249" s="29" t="s">
        <v>2360</v>
      </c>
      <c r="U249" s="24"/>
    </row>
    <row r="250">
      <c r="A250" s="30">
        <v>8.000380007257E12</v>
      </c>
      <c r="B250" s="20" t="s">
        <v>2430</v>
      </c>
      <c r="C250" s="21">
        <v>0.26</v>
      </c>
      <c r="D250" s="21">
        <v>0.09999999</v>
      </c>
      <c r="E250" s="21">
        <v>0.02</v>
      </c>
      <c r="F250" s="22">
        <v>15.0</v>
      </c>
      <c r="G250" s="23"/>
      <c r="H250" s="24" t="s">
        <v>2359</v>
      </c>
      <c r="I250" s="21" t="s">
        <v>2360</v>
      </c>
      <c r="J250" s="24" t="s">
        <v>2431</v>
      </c>
      <c r="K250" s="21" t="s">
        <v>2432</v>
      </c>
      <c r="L250" s="25" t="s">
        <v>2433</v>
      </c>
      <c r="M250" s="26" t="s">
        <v>28</v>
      </c>
      <c r="N250" s="24" t="s">
        <v>185</v>
      </c>
      <c r="O250" s="24" t="s">
        <v>186</v>
      </c>
      <c r="P250" s="27"/>
      <c r="Q250" s="27"/>
      <c r="R250" s="28" t="s">
        <v>2434</v>
      </c>
      <c r="S250" s="8" t="s">
        <v>2435</v>
      </c>
      <c r="T250" s="29" t="s">
        <v>2360</v>
      </c>
      <c r="U250" s="24"/>
    </row>
    <row r="251">
      <c r="A251" s="30">
        <v>8.000380003723E12</v>
      </c>
      <c r="B251" s="20" t="s">
        <v>2436</v>
      </c>
      <c r="C251" s="21">
        <v>0.245</v>
      </c>
      <c r="D251" s="21">
        <v>0.075</v>
      </c>
      <c r="E251" s="21">
        <v>0.02</v>
      </c>
      <c r="F251" s="22">
        <v>15.0</v>
      </c>
      <c r="G251" s="23"/>
      <c r="H251" s="24" t="s">
        <v>2359</v>
      </c>
      <c r="I251" s="21" t="s">
        <v>2360</v>
      </c>
      <c r="J251" s="24" t="s">
        <v>2437</v>
      </c>
      <c r="K251" s="21" t="s">
        <v>2438</v>
      </c>
      <c r="L251" s="25" t="s">
        <v>2439</v>
      </c>
      <c r="M251" s="26" t="s">
        <v>28</v>
      </c>
      <c r="N251" s="24" t="s">
        <v>185</v>
      </c>
      <c r="O251" s="24" t="s">
        <v>186</v>
      </c>
      <c r="P251" s="27"/>
      <c r="Q251" s="27"/>
      <c r="R251" s="28" t="s">
        <v>2440</v>
      </c>
      <c r="S251" s="8" t="s">
        <v>2441</v>
      </c>
      <c r="T251" s="29" t="s">
        <v>2360</v>
      </c>
      <c r="U251" s="24"/>
    </row>
    <row r="252">
      <c r="A252" s="30">
        <v>8.000380004676E12</v>
      </c>
      <c r="B252" s="20" t="s">
        <v>2455</v>
      </c>
      <c r="C252" s="21">
        <v>0.128</v>
      </c>
      <c r="D252" s="21">
        <v>0.22</v>
      </c>
      <c r="E252" s="21">
        <v>0.073</v>
      </c>
      <c r="F252" s="22">
        <v>4.0</v>
      </c>
      <c r="G252" s="23"/>
      <c r="H252" s="24" t="s">
        <v>2359</v>
      </c>
      <c r="I252" s="21" t="s">
        <v>2360</v>
      </c>
      <c r="J252" s="24" t="s">
        <v>2456</v>
      </c>
      <c r="K252" s="21" t="s">
        <v>2457</v>
      </c>
      <c r="L252" s="25" t="s">
        <v>2458</v>
      </c>
      <c r="M252" s="26" t="s">
        <v>28</v>
      </c>
      <c r="N252" s="24" t="s">
        <v>185</v>
      </c>
      <c r="O252" s="24" t="s">
        <v>2409</v>
      </c>
      <c r="P252" s="27"/>
      <c r="Q252" s="27"/>
      <c r="R252" s="31" t="s">
        <v>2459</v>
      </c>
      <c r="S252" s="33" t="s">
        <v>2460</v>
      </c>
      <c r="T252" s="29" t="s">
        <v>2360</v>
      </c>
      <c r="U252" s="24"/>
    </row>
    <row r="253">
      <c r="A253" s="30">
        <v>8.000380180745E12</v>
      </c>
      <c r="B253" s="20" t="s">
        <v>2418</v>
      </c>
      <c r="C253" s="21">
        <v>0.13</v>
      </c>
      <c r="D253" s="21">
        <v>0.2</v>
      </c>
      <c r="E253" s="21">
        <v>0.07</v>
      </c>
      <c r="F253" s="22">
        <v>4.0</v>
      </c>
      <c r="G253" s="23"/>
      <c r="H253" s="24" t="s">
        <v>2359</v>
      </c>
      <c r="I253" s="21" t="s">
        <v>2360</v>
      </c>
      <c r="J253" s="24" t="s">
        <v>2419</v>
      </c>
      <c r="K253" s="21" t="s">
        <v>2420</v>
      </c>
      <c r="L253" s="25" t="s">
        <v>2421</v>
      </c>
      <c r="M253" s="26" t="s">
        <v>28</v>
      </c>
      <c r="N253" s="24" t="s">
        <v>185</v>
      </c>
      <c r="O253" s="24" t="s">
        <v>2409</v>
      </c>
      <c r="P253" s="27"/>
      <c r="Q253" s="27"/>
      <c r="R253" s="31" t="s">
        <v>2422</v>
      </c>
      <c r="S253" s="33" t="s">
        <v>2423</v>
      </c>
      <c r="T253" s="29" t="s">
        <v>2360</v>
      </c>
      <c r="U253" s="24"/>
    </row>
    <row r="254">
      <c r="A254" s="30">
        <v>8.000380004966E12</v>
      </c>
      <c r="B254" s="20" t="s">
        <v>2412</v>
      </c>
      <c r="C254" s="21">
        <v>0.13</v>
      </c>
      <c r="D254" s="21">
        <v>0.2</v>
      </c>
      <c r="E254" s="21">
        <v>0.07</v>
      </c>
      <c r="F254" s="22">
        <v>4.0</v>
      </c>
      <c r="G254" s="23"/>
      <c r="H254" s="24" t="s">
        <v>2359</v>
      </c>
      <c r="I254" s="21" t="s">
        <v>2360</v>
      </c>
      <c r="J254" s="24" t="s">
        <v>2413</v>
      </c>
      <c r="K254" s="21" t="s">
        <v>2414</v>
      </c>
      <c r="L254" s="25" t="s">
        <v>2415</v>
      </c>
      <c r="M254" s="26" t="s">
        <v>28</v>
      </c>
      <c r="N254" s="24" t="s">
        <v>185</v>
      </c>
      <c r="O254" s="24" t="s">
        <v>2409</v>
      </c>
      <c r="P254" s="27"/>
      <c r="Q254" s="27"/>
      <c r="R254" s="31" t="s">
        <v>2416</v>
      </c>
      <c r="S254" s="33" t="s">
        <v>2417</v>
      </c>
      <c r="T254" s="29" t="s">
        <v>2360</v>
      </c>
      <c r="U254" s="24"/>
    </row>
    <row r="255">
      <c r="A255" s="30">
        <v>8.000380004911E12</v>
      </c>
      <c r="B255" s="20" t="s">
        <v>2405</v>
      </c>
      <c r="C255" s="21">
        <v>0.13</v>
      </c>
      <c r="D255" s="21">
        <v>0.2</v>
      </c>
      <c r="E255" s="21">
        <v>0.07</v>
      </c>
      <c r="F255" s="22">
        <v>4.0</v>
      </c>
      <c r="G255" s="23"/>
      <c r="H255" s="24" t="s">
        <v>2359</v>
      </c>
      <c r="I255" s="21" t="s">
        <v>2360</v>
      </c>
      <c r="J255" s="24" t="s">
        <v>2406</v>
      </c>
      <c r="K255" s="21" t="s">
        <v>2407</v>
      </c>
      <c r="L255" s="25" t="s">
        <v>2408</v>
      </c>
      <c r="M255" s="26" t="s">
        <v>28</v>
      </c>
      <c r="N255" s="24" t="s">
        <v>185</v>
      </c>
      <c r="O255" s="24" t="s">
        <v>2409</v>
      </c>
      <c r="P255" s="27"/>
      <c r="Q255" s="27"/>
      <c r="R255" s="28" t="s">
        <v>2410</v>
      </c>
      <c r="S255" s="8" t="s">
        <v>2411</v>
      </c>
      <c r="T255" s="29" t="s">
        <v>2360</v>
      </c>
      <c r="U255" s="24"/>
    </row>
    <row r="256">
      <c r="A256" s="30">
        <v>8.0001485E7</v>
      </c>
      <c r="B256" s="20" t="s">
        <v>2374</v>
      </c>
      <c r="C256" s="21">
        <v>0.09999999</v>
      </c>
      <c r="D256" s="21">
        <v>0.045</v>
      </c>
      <c r="E256" s="21">
        <v>0.02</v>
      </c>
      <c r="F256" s="22">
        <v>15.0</v>
      </c>
      <c r="G256" s="23"/>
      <c r="H256" s="24" t="s">
        <v>2359</v>
      </c>
      <c r="I256" s="21" t="s">
        <v>2360</v>
      </c>
      <c r="J256" s="24" t="s">
        <v>2375</v>
      </c>
      <c r="K256" s="21" t="s">
        <v>2376</v>
      </c>
      <c r="L256" s="25" t="s">
        <v>2377</v>
      </c>
      <c r="M256" s="26" t="s">
        <v>28</v>
      </c>
      <c r="N256" s="24" t="s">
        <v>501</v>
      </c>
      <c r="O256" s="24" t="s">
        <v>502</v>
      </c>
      <c r="P256" s="27"/>
      <c r="Q256" s="27"/>
      <c r="R256" s="31" t="s">
        <v>2378</v>
      </c>
      <c r="S256" s="33" t="s">
        <v>2379</v>
      </c>
      <c r="T256" s="29" t="s">
        <v>2380</v>
      </c>
      <c r="U256" s="24"/>
    </row>
    <row r="257">
      <c r="A257" s="30">
        <v>8.0001461E7</v>
      </c>
      <c r="B257" s="20" t="s">
        <v>2387</v>
      </c>
      <c r="C257" s="21">
        <v>0.09999999</v>
      </c>
      <c r="D257" s="21">
        <v>0.045</v>
      </c>
      <c r="E257" s="21">
        <v>0.02</v>
      </c>
      <c r="F257" s="22">
        <v>15.0</v>
      </c>
      <c r="G257" s="23"/>
      <c r="H257" s="24" t="s">
        <v>2359</v>
      </c>
      <c r="I257" s="21" t="s">
        <v>2360</v>
      </c>
      <c r="J257" s="24" t="s">
        <v>2388</v>
      </c>
      <c r="K257" s="21" t="s">
        <v>2389</v>
      </c>
      <c r="L257" s="25" t="s">
        <v>2390</v>
      </c>
      <c r="M257" s="26" t="s">
        <v>28</v>
      </c>
      <c r="N257" s="24" t="s">
        <v>501</v>
      </c>
      <c r="O257" s="24" t="s">
        <v>502</v>
      </c>
      <c r="P257" s="27"/>
      <c r="Q257" s="27"/>
      <c r="R257" s="31" t="s">
        <v>2391</v>
      </c>
      <c r="S257" s="8" t="s">
        <v>2392</v>
      </c>
      <c r="T257" s="29" t="s">
        <v>2380</v>
      </c>
      <c r="U257" s="24"/>
    </row>
    <row r="258">
      <c r="A258" s="30">
        <v>8.0001027E7</v>
      </c>
      <c r="B258" s="20" t="s">
        <v>2442</v>
      </c>
      <c r="C258" s="21">
        <v>0.095</v>
      </c>
      <c r="D258" s="21">
        <v>0.065</v>
      </c>
      <c r="E258" s="21">
        <v>0.02</v>
      </c>
      <c r="F258" s="22">
        <v>15.0</v>
      </c>
      <c r="G258" s="23"/>
      <c r="H258" s="24" t="s">
        <v>2359</v>
      </c>
      <c r="I258" s="21" t="s">
        <v>2360</v>
      </c>
      <c r="J258" s="24" t="s">
        <v>2443</v>
      </c>
      <c r="K258" s="21" t="s">
        <v>2444</v>
      </c>
      <c r="L258" s="25" t="s">
        <v>2445</v>
      </c>
      <c r="M258" s="26" t="s">
        <v>28</v>
      </c>
      <c r="N258" s="24" t="s">
        <v>501</v>
      </c>
      <c r="O258" s="24" t="s">
        <v>502</v>
      </c>
      <c r="P258" s="27"/>
      <c r="Q258" s="27"/>
      <c r="R258" s="31" t="s">
        <v>2446</v>
      </c>
      <c r="S258" s="8" t="s">
        <v>2447</v>
      </c>
      <c r="T258" s="29" t="s">
        <v>2448</v>
      </c>
      <c r="U258" s="24"/>
    </row>
    <row r="259">
      <c r="A259" s="30">
        <v>8.000380187119E12</v>
      </c>
      <c r="B259" s="20" t="s">
        <v>2399</v>
      </c>
      <c r="C259" s="21">
        <v>0.21</v>
      </c>
      <c r="D259" s="21">
        <v>0.09999999</v>
      </c>
      <c r="E259" s="21">
        <v>0.03</v>
      </c>
      <c r="F259" s="22">
        <v>10.0</v>
      </c>
      <c r="G259" s="23"/>
      <c r="H259" s="24" t="s">
        <v>2359</v>
      </c>
      <c r="I259" s="21" t="s">
        <v>2360</v>
      </c>
      <c r="J259" s="24" t="s">
        <v>2400</v>
      </c>
      <c r="K259" s="21" t="s">
        <v>2401</v>
      </c>
      <c r="L259" s="25" t="s">
        <v>2402</v>
      </c>
      <c r="M259" s="26" t="s">
        <v>28</v>
      </c>
      <c r="N259" s="24" t="s">
        <v>2364</v>
      </c>
      <c r="O259" s="24" t="s">
        <v>2365</v>
      </c>
      <c r="P259" s="27"/>
      <c r="Q259" s="27"/>
      <c r="R259" s="28" t="s">
        <v>2403</v>
      </c>
      <c r="S259" s="8" t="s">
        <v>2404</v>
      </c>
      <c r="T259" s="29" t="s">
        <v>2360</v>
      </c>
      <c r="U259" s="24"/>
    </row>
    <row r="260">
      <c r="A260" s="30">
        <v>8.0003801873E12</v>
      </c>
      <c r="B260" s="20" t="s">
        <v>2381</v>
      </c>
      <c r="C260" s="21">
        <v>0.245</v>
      </c>
      <c r="D260" s="21">
        <v>0.072</v>
      </c>
      <c r="E260" s="21">
        <v>0.035</v>
      </c>
      <c r="F260" s="22">
        <v>9.0</v>
      </c>
      <c r="G260" s="23"/>
      <c r="H260" s="24" t="s">
        <v>2359</v>
      </c>
      <c r="I260" s="21" t="s">
        <v>2360</v>
      </c>
      <c r="J260" s="24" t="s">
        <v>2382</v>
      </c>
      <c r="K260" s="21" t="s">
        <v>2383</v>
      </c>
      <c r="L260" s="25" t="s">
        <v>2384</v>
      </c>
      <c r="M260" s="26" t="s">
        <v>28</v>
      </c>
      <c r="N260" s="24" t="s">
        <v>2364</v>
      </c>
      <c r="O260" s="24" t="s">
        <v>2365</v>
      </c>
      <c r="P260" s="27"/>
      <c r="Q260" s="27"/>
      <c r="R260" s="31" t="s">
        <v>2385</v>
      </c>
      <c r="S260" s="33" t="s">
        <v>2386</v>
      </c>
      <c r="T260" s="29" t="s">
        <v>2360</v>
      </c>
      <c r="U260" s="24"/>
    </row>
    <row r="261">
      <c r="A261" s="30">
        <v>8.000380187249E12</v>
      </c>
      <c r="B261" s="20" t="s">
        <v>2358</v>
      </c>
      <c r="C261" s="21">
        <v>0.21</v>
      </c>
      <c r="D261" s="21">
        <v>0.09999999</v>
      </c>
      <c r="E261" s="21">
        <v>0.03</v>
      </c>
      <c r="F261" s="22">
        <v>10.0</v>
      </c>
      <c r="G261" s="23"/>
      <c r="H261" s="24" t="s">
        <v>2359</v>
      </c>
      <c r="I261" s="21" t="s">
        <v>2360</v>
      </c>
      <c r="J261" s="24" t="s">
        <v>2361</v>
      </c>
      <c r="K261" s="21" t="s">
        <v>2362</v>
      </c>
      <c r="L261" s="25" t="s">
        <v>2363</v>
      </c>
      <c r="M261" s="26" t="s">
        <v>28</v>
      </c>
      <c r="N261" s="24" t="s">
        <v>2364</v>
      </c>
      <c r="O261" s="24" t="s">
        <v>2365</v>
      </c>
      <c r="P261" s="27"/>
      <c r="Q261" s="27"/>
      <c r="R261" s="28" t="s">
        <v>2366</v>
      </c>
      <c r="S261" s="8" t="s">
        <v>2367</v>
      </c>
      <c r="T261" s="29" t="s">
        <v>2360</v>
      </c>
      <c r="U261" s="24"/>
    </row>
    <row r="262">
      <c r="A262" s="30">
        <v>5.410126006339E12</v>
      </c>
      <c r="B262" s="20" t="s">
        <v>5192</v>
      </c>
      <c r="C262" s="21">
        <v>0.15</v>
      </c>
      <c r="D262" s="21">
        <v>0.08</v>
      </c>
      <c r="E262" s="21">
        <v>0.03</v>
      </c>
      <c r="F262" s="22">
        <v>10.0</v>
      </c>
      <c r="G262" s="23"/>
      <c r="H262" s="24" t="s">
        <v>2462</v>
      </c>
      <c r="I262" s="21" t="s">
        <v>5193</v>
      </c>
      <c r="J262" s="24" t="s">
        <v>2464</v>
      </c>
      <c r="K262" s="21" t="s">
        <v>2465</v>
      </c>
      <c r="L262" s="25" t="s">
        <v>2466</v>
      </c>
      <c r="M262" s="26" t="s">
        <v>28</v>
      </c>
      <c r="N262" s="24" t="s">
        <v>2364</v>
      </c>
      <c r="O262" s="24" t="s">
        <v>2467</v>
      </c>
      <c r="P262" s="27"/>
      <c r="Q262" s="27"/>
      <c r="R262" s="31" t="s">
        <v>2468</v>
      </c>
      <c r="S262" s="8" t="s">
        <v>2469</v>
      </c>
      <c r="T262" s="29" t="s">
        <v>2470</v>
      </c>
      <c r="U262" s="24"/>
    </row>
    <row r="263">
      <c r="A263" s="30">
        <v>7.290000074481E12</v>
      </c>
      <c r="B263" s="20" t="s">
        <v>2316</v>
      </c>
      <c r="C263" s="21">
        <v>0.14</v>
      </c>
      <c r="D263" s="21">
        <v>0.135</v>
      </c>
      <c r="E263" s="21">
        <v>0.044</v>
      </c>
      <c r="F263" s="22">
        <v>7.0</v>
      </c>
      <c r="G263" s="23"/>
      <c r="H263" s="24" t="s">
        <v>2317</v>
      </c>
      <c r="I263" s="21" t="s">
        <v>2318</v>
      </c>
      <c r="J263" s="24" t="s">
        <v>2319</v>
      </c>
      <c r="K263" s="21" t="s">
        <v>2320</v>
      </c>
      <c r="L263" s="25" t="s">
        <v>2321</v>
      </c>
      <c r="M263" s="26" t="s">
        <v>37</v>
      </c>
      <c r="N263" s="24" t="s">
        <v>954</v>
      </c>
      <c r="O263" s="24" t="s">
        <v>2317</v>
      </c>
      <c r="P263" s="27"/>
      <c r="Q263" s="27"/>
      <c r="R263" s="28" t="s">
        <v>2322</v>
      </c>
      <c r="S263" s="8" t="s">
        <v>2323</v>
      </c>
      <c r="T263" s="29" t="e">
        <v>#N/A</v>
      </c>
      <c r="U263" s="24"/>
    </row>
    <row r="264">
      <c r="A264" s="30">
        <v>7.290000075204E12</v>
      </c>
      <c r="B264" s="20" t="s">
        <v>2330</v>
      </c>
      <c r="C264" s="21">
        <v>0.14</v>
      </c>
      <c r="D264" s="21">
        <v>0.13</v>
      </c>
      <c r="E264" s="21">
        <v>0.044</v>
      </c>
      <c r="F264" s="22">
        <v>7.0</v>
      </c>
      <c r="G264" s="23"/>
      <c r="H264" s="24" t="s">
        <v>2317</v>
      </c>
      <c r="I264" s="21" t="s">
        <v>2318</v>
      </c>
      <c r="J264" s="24" t="s">
        <v>2331</v>
      </c>
      <c r="K264" s="21" t="s">
        <v>2332</v>
      </c>
      <c r="L264" s="25" t="s">
        <v>2333</v>
      </c>
      <c r="M264" s="26" t="s">
        <v>37</v>
      </c>
      <c r="N264" s="24" t="s">
        <v>954</v>
      </c>
      <c r="O264" s="24" t="s">
        <v>2317</v>
      </c>
      <c r="P264" s="27"/>
      <c r="Q264" s="27"/>
      <c r="R264" s="28" t="s">
        <v>2334</v>
      </c>
      <c r="S264" s="8" t="s">
        <v>2335</v>
      </c>
      <c r="T264" s="29" t="e">
        <v>#N/A</v>
      </c>
      <c r="U264" s="24"/>
    </row>
    <row r="265">
      <c r="A265" s="30">
        <v>7.290000077253E12</v>
      </c>
      <c r="B265" s="20" t="s">
        <v>2336</v>
      </c>
      <c r="C265" s="21">
        <v>0.14</v>
      </c>
      <c r="D265" s="21">
        <v>0.13</v>
      </c>
      <c r="E265" s="21">
        <v>0.044</v>
      </c>
      <c r="F265" s="22">
        <v>7.0</v>
      </c>
      <c r="G265" s="23"/>
      <c r="H265" s="24" t="s">
        <v>2317</v>
      </c>
      <c r="I265" s="21" t="s">
        <v>2318</v>
      </c>
      <c r="J265" s="24" t="s">
        <v>2337</v>
      </c>
      <c r="K265" s="21" t="s">
        <v>2338</v>
      </c>
      <c r="L265" s="25" t="s">
        <v>2339</v>
      </c>
      <c r="M265" s="26" t="s">
        <v>37</v>
      </c>
      <c r="N265" s="24" t="s">
        <v>954</v>
      </c>
      <c r="O265" s="24" t="s">
        <v>2317</v>
      </c>
      <c r="P265" s="27"/>
      <c r="Q265" s="27"/>
      <c r="R265" s="28" t="s">
        <v>2340</v>
      </c>
      <c r="S265" s="8" t="s">
        <v>2341</v>
      </c>
      <c r="T265" s="29" t="e">
        <v>#N/A</v>
      </c>
      <c r="U265" s="24"/>
    </row>
    <row r="266">
      <c r="A266" s="30">
        <v>7.290006983176E12</v>
      </c>
      <c r="B266" s="20" t="s">
        <v>2324</v>
      </c>
      <c r="C266" s="21">
        <v>0.14</v>
      </c>
      <c r="D266" s="21">
        <v>0.135</v>
      </c>
      <c r="E266" s="21">
        <v>0.044</v>
      </c>
      <c r="F266" s="22">
        <v>7.0</v>
      </c>
      <c r="G266" s="23"/>
      <c r="H266" s="24" t="s">
        <v>2317</v>
      </c>
      <c r="I266" s="21" t="s">
        <v>2318</v>
      </c>
      <c r="J266" s="24" t="s">
        <v>2325</v>
      </c>
      <c r="K266" s="21" t="s">
        <v>2326</v>
      </c>
      <c r="L266" s="25" t="s">
        <v>2327</v>
      </c>
      <c r="M266" s="26" t="s">
        <v>37</v>
      </c>
      <c r="N266" s="24" t="s">
        <v>954</v>
      </c>
      <c r="O266" s="24" t="s">
        <v>2317</v>
      </c>
      <c r="P266" s="27"/>
      <c r="Q266" s="27"/>
      <c r="R266" s="28" t="s">
        <v>2328</v>
      </c>
      <c r="S266" s="8" t="s">
        <v>2329</v>
      </c>
      <c r="T266" s="29" t="e">
        <v>#N/A</v>
      </c>
      <c r="U266" s="24"/>
    </row>
    <row r="267">
      <c r="A267" s="30">
        <v>7.29001406638E12</v>
      </c>
      <c r="B267" s="20" t="s">
        <v>5194</v>
      </c>
      <c r="C267" s="21">
        <v>0.075</v>
      </c>
      <c r="D267" s="21">
        <v>0.195</v>
      </c>
      <c r="E267" s="21">
        <v>0.03</v>
      </c>
      <c r="F267" s="22">
        <v>10.0</v>
      </c>
      <c r="G267" s="23"/>
      <c r="H267" s="24" t="s">
        <v>2343</v>
      </c>
      <c r="I267" s="21" t="s">
        <v>5195</v>
      </c>
      <c r="J267" s="24" t="s">
        <v>2345</v>
      </c>
      <c r="K267" s="21" t="s">
        <v>2346</v>
      </c>
      <c r="L267" s="25" t="s">
        <v>2347</v>
      </c>
      <c r="M267" s="26" t="s">
        <v>28</v>
      </c>
      <c r="N267" s="24" t="s">
        <v>1222</v>
      </c>
      <c r="O267" s="24" t="s">
        <v>1223</v>
      </c>
      <c r="P267" s="27"/>
      <c r="Q267" s="27"/>
      <c r="R267" s="28" t="s">
        <v>2348</v>
      </c>
      <c r="S267" s="33" t="s">
        <v>2349</v>
      </c>
      <c r="T267" s="29" t="s">
        <v>2350</v>
      </c>
      <c r="U267" s="24"/>
    </row>
    <row r="268">
      <c r="A268" s="30">
        <v>7.290014066373E12</v>
      </c>
      <c r="B268" s="20" t="s">
        <v>5196</v>
      </c>
      <c r="C268" s="21">
        <v>0.075</v>
      </c>
      <c r="D268" s="21">
        <v>0.195</v>
      </c>
      <c r="E268" s="21">
        <v>0.03</v>
      </c>
      <c r="F268" s="22">
        <v>10.0</v>
      </c>
      <c r="G268" s="23"/>
      <c r="H268" s="24" t="s">
        <v>2343</v>
      </c>
      <c r="I268" s="21" t="s">
        <v>5195</v>
      </c>
      <c r="J268" s="24" t="s">
        <v>2353</v>
      </c>
      <c r="K268" s="21" t="s">
        <v>2354</v>
      </c>
      <c r="L268" s="25" t="s">
        <v>2355</v>
      </c>
      <c r="M268" s="26" t="s">
        <v>28</v>
      </c>
      <c r="N268" s="24" t="s">
        <v>1222</v>
      </c>
      <c r="O268" s="24" t="s">
        <v>1223</v>
      </c>
      <c r="P268" s="27"/>
      <c r="Q268" s="27"/>
      <c r="R268" s="33" t="s">
        <v>2356</v>
      </c>
      <c r="S268" s="33" t="s">
        <v>2357</v>
      </c>
      <c r="T268" s="29" t="s">
        <v>2350</v>
      </c>
      <c r="U268" s="24"/>
    </row>
    <row r="269">
      <c r="A269" s="30">
        <v>7.290008750264E12</v>
      </c>
      <c r="B269" s="20" t="s">
        <v>2860</v>
      </c>
      <c r="C269" s="21">
        <v>0.046</v>
      </c>
      <c r="D269" s="21">
        <v>0.076</v>
      </c>
      <c r="E269" s="21">
        <v>0.02</v>
      </c>
      <c r="F269" s="22">
        <v>15.0</v>
      </c>
      <c r="G269" s="23"/>
      <c r="H269" s="24" t="s">
        <v>2861</v>
      </c>
      <c r="I269" s="21" t="s">
        <v>2862</v>
      </c>
      <c r="J269" s="24" t="s">
        <v>2863</v>
      </c>
      <c r="K269" s="21" t="s">
        <v>2864</v>
      </c>
      <c r="L269" s="25" t="s">
        <v>2865</v>
      </c>
      <c r="M269" s="26" t="s">
        <v>37</v>
      </c>
      <c r="N269" s="24" t="s">
        <v>309</v>
      </c>
      <c r="O269" s="24" t="s">
        <v>310</v>
      </c>
      <c r="P269" s="27"/>
      <c r="Q269" s="27"/>
      <c r="R269" s="31" t="s">
        <v>2866</v>
      </c>
      <c r="S269" s="8" t="s">
        <v>2867</v>
      </c>
      <c r="T269" s="29" t="e">
        <v>#N/A</v>
      </c>
      <c r="U269" s="24"/>
    </row>
    <row r="270">
      <c r="A270" s="30">
        <v>7.290104068539E12</v>
      </c>
      <c r="B270" s="20" t="s">
        <v>2868</v>
      </c>
      <c r="C270" s="21">
        <v>0.046</v>
      </c>
      <c r="D270" s="21">
        <v>0.076</v>
      </c>
      <c r="E270" s="21">
        <v>0.02</v>
      </c>
      <c r="F270" s="22">
        <v>15.0</v>
      </c>
      <c r="G270" s="23"/>
      <c r="H270" s="24" t="s">
        <v>2861</v>
      </c>
      <c r="I270" s="21" t="s">
        <v>2862</v>
      </c>
      <c r="J270" s="24" t="s">
        <v>2869</v>
      </c>
      <c r="K270" s="21" t="s">
        <v>2870</v>
      </c>
      <c r="L270" s="25" t="s">
        <v>2871</v>
      </c>
      <c r="M270" s="26" t="s">
        <v>28</v>
      </c>
      <c r="N270" s="24" t="s">
        <v>309</v>
      </c>
      <c r="O270" s="24" t="s">
        <v>310</v>
      </c>
      <c r="P270" s="27"/>
      <c r="Q270" s="27"/>
      <c r="R270" s="31" t="s">
        <v>2872</v>
      </c>
      <c r="S270" s="33" t="s">
        <v>2873</v>
      </c>
      <c r="T270" s="29" t="s">
        <v>2862</v>
      </c>
      <c r="U270" s="24"/>
    </row>
    <row r="271">
      <c r="A271" s="30">
        <v>7.290008754415E12</v>
      </c>
      <c r="B271" s="20" t="s">
        <v>2889</v>
      </c>
      <c r="C271" s="21">
        <v>0.046</v>
      </c>
      <c r="D271" s="21">
        <v>0.076</v>
      </c>
      <c r="E271" s="21">
        <v>0.02</v>
      </c>
      <c r="F271" s="22">
        <v>15.0</v>
      </c>
      <c r="G271" s="23"/>
      <c r="H271" s="24" t="s">
        <v>2861</v>
      </c>
      <c r="I271" s="21" t="s">
        <v>2862</v>
      </c>
      <c r="J271" s="24" t="s">
        <v>2890</v>
      </c>
      <c r="K271" s="21" t="s">
        <v>2891</v>
      </c>
      <c r="L271" s="25" t="s">
        <v>2892</v>
      </c>
      <c r="M271" s="26" t="s">
        <v>37</v>
      </c>
      <c r="N271" s="24" t="s">
        <v>309</v>
      </c>
      <c r="O271" s="24" t="s">
        <v>310</v>
      </c>
      <c r="P271" s="27"/>
      <c r="Q271" s="27"/>
      <c r="R271" s="31" t="s">
        <v>2893</v>
      </c>
      <c r="S271" s="33" t="s">
        <v>2894</v>
      </c>
      <c r="T271" s="29" t="e">
        <v>#N/A</v>
      </c>
      <c r="U271" s="24"/>
    </row>
    <row r="272">
      <c r="A272" s="30">
        <v>7.290008754422E12</v>
      </c>
      <c r="B272" s="20" t="s">
        <v>2874</v>
      </c>
      <c r="C272" s="21">
        <v>0.045</v>
      </c>
      <c r="D272" s="21">
        <v>0.075</v>
      </c>
      <c r="E272" s="21">
        <v>0.02</v>
      </c>
      <c r="F272" s="22">
        <v>15.0</v>
      </c>
      <c r="G272" s="23"/>
      <c r="H272" s="24" t="s">
        <v>2861</v>
      </c>
      <c r="I272" s="21" t="s">
        <v>2862</v>
      </c>
      <c r="J272" s="24" t="s">
        <v>2875</v>
      </c>
      <c r="K272" s="21" t="s">
        <v>2876</v>
      </c>
      <c r="L272" s="25" t="s">
        <v>2877</v>
      </c>
      <c r="M272" s="26" t="s">
        <v>37</v>
      </c>
      <c r="N272" s="24" t="s">
        <v>309</v>
      </c>
      <c r="O272" s="24" t="s">
        <v>310</v>
      </c>
      <c r="P272" s="27"/>
      <c r="Q272" s="27"/>
      <c r="R272" s="31" t="s">
        <v>2878</v>
      </c>
      <c r="S272" s="33" t="s">
        <v>2879</v>
      </c>
      <c r="T272" s="29" t="e">
        <v>#N/A</v>
      </c>
      <c r="U272" s="24"/>
    </row>
    <row r="273">
      <c r="A273" s="30">
        <v>7.724511061E10</v>
      </c>
      <c r="B273" s="20" t="s">
        <v>2880</v>
      </c>
      <c r="C273" s="21">
        <v>0.12</v>
      </c>
      <c r="D273" s="21">
        <v>0.19</v>
      </c>
      <c r="E273" s="21">
        <v>0.015</v>
      </c>
      <c r="F273" s="22">
        <v>20.0</v>
      </c>
      <c r="G273" s="23"/>
      <c r="H273" s="24" t="s">
        <v>2861</v>
      </c>
      <c r="I273" s="21" t="s">
        <v>2862</v>
      </c>
      <c r="J273" s="24" t="s">
        <v>2883</v>
      </c>
      <c r="K273" s="21" t="s">
        <v>2884</v>
      </c>
      <c r="L273" s="25" t="s">
        <v>2885</v>
      </c>
      <c r="M273" s="26" t="s">
        <v>28</v>
      </c>
      <c r="N273" s="24" t="s">
        <v>2611</v>
      </c>
      <c r="O273" s="24" t="s">
        <v>2886</v>
      </c>
      <c r="P273" s="27"/>
      <c r="Q273" s="27"/>
      <c r="R273" s="28" t="s">
        <v>2887</v>
      </c>
      <c r="S273" s="8" t="s">
        <v>2888</v>
      </c>
      <c r="T273" s="29" t="s">
        <v>2862</v>
      </c>
      <c r="U273" s="24"/>
    </row>
    <row r="274">
      <c r="A274" s="30">
        <v>4.710068001715E12</v>
      </c>
      <c r="B274" s="20" t="s">
        <v>2582</v>
      </c>
      <c r="C274" s="21">
        <v>0.065</v>
      </c>
      <c r="D274" s="21">
        <v>0.095</v>
      </c>
      <c r="E274" s="21">
        <v>0.065</v>
      </c>
      <c r="F274" s="22">
        <v>5.0</v>
      </c>
      <c r="G274" s="23"/>
      <c r="H274" s="24" t="s">
        <v>2562</v>
      </c>
      <c r="I274" s="21" t="s">
        <v>2563</v>
      </c>
      <c r="J274" s="24" t="s">
        <v>2583</v>
      </c>
      <c r="K274" s="21" t="s">
        <v>2584</v>
      </c>
      <c r="L274" s="25" t="s">
        <v>2585</v>
      </c>
      <c r="M274" s="26" t="s">
        <v>28</v>
      </c>
      <c r="N274" s="24" t="s">
        <v>340</v>
      </c>
      <c r="O274" s="24" t="s">
        <v>341</v>
      </c>
      <c r="P274" s="27"/>
      <c r="Q274" s="27"/>
      <c r="R274" s="31" t="s">
        <v>2586</v>
      </c>
      <c r="S274" s="8" t="s">
        <v>2587</v>
      </c>
      <c r="T274" s="29" t="s">
        <v>2569</v>
      </c>
      <c r="U274" s="24"/>
    </row>
    <row r="275">
      <c r="A275" s="30">
        <v>4.710068001692E12</v>
      </c>
      <c r="B275" s="20" t="s">
        <v>2576</v>
      </c>
      <c r="C275" s="21">
        <v>0.065</v>
      </c>
      <c r="D275" s="21">
        <v>0.095</v>
      </c>
      <c r="E275" s="21">
        <v>0.065</v>
      </c>
      <c r="F275" s="22">
        <v>5.0</v>
      </c>
      <c r="G275" s="23"/>
      <c r="H275" s="24" t="s">
        <v>2562</v>
      </c>
      <c r="I275" s="21" t="s">
        <v>2563</v>
      </c>
      <c r="J275" s="24" t="s">
        <v>2577</v>
      </c>
      <c r="K275" s="21" t="s">
        <v>2578</v>
      </c>
      <c r="L275" s="25" t="s">
        <v>2579</v>
      </c>
      <c r="M275" s="26" t="s">
        <v>28</v>
      </c>
      <c r="N275" s="24" t="s">
        <v>340</v>
      </c>
      <c r="O275" s="24" t="s">
        <v>341</v>
      </c>
      <c r="P275" s="27"/>
      <c r="Q275" s="27"/>
      <c r="R275" s="31" t="s">
        <v>2580</v>
      </c>
      <c r="S275" s="33" t="s">
        <v>2581</v>
      </c>
      <c r="T275" s="29" t="s">
        <v>2569</v>
      </c>
      <c r="U275" s="24"/>
    </row>
    <row r="276">
      <c r="A276" s="30">
        <v>4.710068002798E12</v>
      </c>
      <c r="B276" s="20" t="s">
        <v>2561</v>
      </c>
      <c r="C276" s="21">
        <v>0.065</v>
      </c>
      <c r="D276" s="21">
        <v>0.095</v>
      </c>
      <c r="E276" s="21">
        <v>0.065</v>
      </c>
      <c r="F276" s="22">
        <v>5.0</v>
      </c>
      <c r="G276" s="23"/>
      <c r="H276" s="24" t="s">
        <v>2562</v>
      </c>
      <c r="I276" s="21" t="s">
        <v>2563</v>
      </c>
      <c r="J276" s="24" t="s">
        <v>2564</v>
      </c>
      <c r="K276" s="21" t="s">
        <v>2565</v>
      </c>
      <c r="L276" s="25" t="s">
        <v>2566</v>
      </c>
      <c r="M276" s="26" t="s">
        <v>28</v>
      </c>
      <c r="N276" s="24" t="s">
        <v>340</v>
      </c>
      <c r="O276" s="24" t="s">
        <v>341</v>
      </c>
      <c r="P276" s="27"/>
      <c r="Q276" s="27"/>
      <c r="R276" s="31" t="s">
        <v>2567</v>
      </c>
      <c r="S276" s="33" t="s">
        <v>2568</v>
      </c>
      <c r="T276" s="29" t="s">
        <v>2569</v>
      </c>
      <c r="U276" s="24"/>
    </row>
    <row r="277">
      <c r="A277" s="30">
        <v>4.710068001739E12</v>
      </c>
      <c r="B277" s="20" t="s">
        <v>2570</v>
      </c>
      <c r="C277" s="21">
        <v>0.065</v>
      </c>
      <c r="D277" s="21">
        <v>0.095</v>
      </c>
      <c r="E277" s="21">
        <v>0.065</v>
      </c>
      <c r="F277" s="22">
        <v>5.0</v>
      </c>
      <c r="G277" s="23"/>
      <c r="H277" s="24" t="s">
        <v>2562</v>
      </c>
      <c r="I277" s="21" t="s">
        <v>2563</v>
      </c>
      <c r="J277" s="24" t="s">
        <v>2571</v>
      </c>
      <c r="K277" s="21" t="s">
        <v>2572</v>
      </c>
      <c r="L277" s="25" t="s">
        <v>2573</v>
      </c>
      <c r="M277" s="26" t="s">
        <v>28</v>
      </c>
      <c r="N277" s="24" t="s">
        <v>340</v>
      </c>
      <c r="O277" s="24" t="s">
        <v>341</v>
      </c>
      <c r="P277" s="27"/>
      <c r="Q277" s="27"/>
      <c r="R277" s="31" t="s">
        <v>2574</v>
      </c>
      <c r="S277" s="33" t="s">
        <v>2575</v>
      </c>
      <c r="T277" s="29" t="s">
        <v>2569</v>
      </c>
      <c r="U277" s="24"/>
    </row>
    <row r="278">
      <c r="A278" s="30">
        <v>5.060517886486E12</v>
      </c>
      <c r="B278" s="20" t="s">
        <v>2842</v>
      </c>
      <c r="C278" s="21">
        <v>0.066</v>
      </c>
      <c r="D278" s="21">
        <v>0.168</v>
      </c>
      <c r="E278" s="21">
        <v>0.066</v>
      </c>
      <c r="F278" s="22">
        <v>5.0</v>
      </c>
      <c r="G278" s="23"/>
      <c r="H278" s="24" t="s">
        <v>2836</v>
      </c>
      <c r="I278" s="21" t="s">
        <v>488</v>
      </c>
      <c r="J278" s="24" t="s">
        <v>2843</v>
      </c>
      <c r="K278" s="21" t="s">
        <v>2844</v>
      </c>
      <c r="L278" s="25" t="s">
        <v>2845</v>
      </c>
      <c r="M278" s="26" t="s">
        <v>28</v>
      </c>
      <c r="N278" s="24" t="s">
        <v>340</v>
      </c>
      <c r="O278" s="24" t="s">
        <v>449</v>
      </c>
      <c r="P278" s="27"/>
      <c r="Q278" s="27"/>
      <c r="R278" s="31" t="s">
        <v>2846</v>
      </c>
      <c r="S278" s="33" t="s">
        <v>2847</v>
      </c>
      <c r="T278" s="29" t="s">
        <v>488</v>
      </c>
      <c r="U278" s="24"/>
    </row>
    <row r="279">
      <c r="A279" s="30">
        <v>5.060517886516E12</v>
      </c>
      <c r="B279" s="20" t="s">
        <v>2854</v>
      </c>
      <c r="C279" s="21">
        <v>0.066</v>
      </c>
      <c r="D279" s="21">
        <v>0.168</v>
      </c>
      <c r="E279" s="21">
        <v>0.066</v>
      </c>
      <c r="F279" s="22">
        <v>5.0</v>
      </c>
      <c r="G279" s="23"/>
      <c r="H279" s="24" t="s">
        <v>2836</v>
      </c>
      <c r="I279" s="21" t="s">
        <v>488</v>
      </c>
      <c r="J279" s="24" t="s">
        <v>2855</v>
      </c>
      <c r="K279" s="21" t="s">
        <v>2856</v>
      </c>
      <c r="L279" s="25" t="s">
        <v>2857</v>
      </c>
      <c r="M279" s="26" t="s">
        <v>28</v>
      </c>
      <c r="N279" s="24" t="s">
        <v>340</v>
      </c>
      <c r="O279" s="24" t="s">
        <v>449</v>
      </c>
      <c r="P279" s="27"/>
      <c r="Q279" s="27"/>
      <c r="R279" s="31" t="s">
        <v>2858</v>
      </c>
      <c r="S279" s="8" t="s">
        <v>2859</v>
      </c>
      <c r="T279" s="29" t="s">
        <v>488</v>
      </c>
      <c r="U279" s="24"/>
    </row>
    <row r="280">
      <c r="A280" s="30">
        <v>5.060517886547E12</v>
      </c>
      <c r="B280" s="20" t="s">
        <v>2835</v>
      </c>
      <c r="C280" s="21">
        <v>0.066</v>
      </c>
      <c r="D280" s="21">
        <v>0.168</v>
      </c>
      <c r="E280" s="21">
        <v>0.066</v>
      </c>
      <c r="F280" s="22">
        <v>5.0</v>
      </c>
      <c r="G280" s="23"/>
      <c r="H280" s="24" t="s">
        <v>2836</v>
      </c>
      <c r="I280" s="21" t="s">
        <v>488</v>
      </c>
      <c r="J280" s="24" t="s">
        <v>2837</v>
      </c>
      <c r="K280" s="21" t="s">
        <v>2838</v>
      </c>
      <c r="L280" s="25" t="s">
        <v>2839</v>
      </c>
      <c r="M280" s="26" t="s">
        <v>28</v>
      </c>
      <c r="N280" s="24" t="s">
        <v>340</v>
      </c>
      <c r="O280" s="24" t="s">
        <v>449</v>
      </c>
      <c r="P280" s="27"/>
      <c r="Q280" s="27"/>
      <c r="R280" s="31" t="s">
        <v>2840</v>
      </c>
      <c r="S280" s="33" t="s">
        <v>2841</v>
      </c>
      <c r="T280" s="29" t="s">
        <v>488</v>
      </c>
      <c r="U280" s="24"/>
    </row>
    <row r="281">
      <c r="A281" s="30">
        <v>5.060639129102E12</v>
      </c>
      <c r="B281" s="20" t="s">
        <v>2848</v>
      </c>
      <c r="C281" s="21">
        <v>0.066</v>
      </c>
      <c r="D281" s="21">
        <v>0.168</v>
      </c>
      <c r="E281" s="21">
        <v>0.066</v>
      </c>
      <c r="F281" s="22">
        <v>5.0</v>
      </c>
      <c r="G281" s="23"/>
      <c r="H281" s="24" t="s">
        <v>2836</v>
      </c>
      <c r="I281" s="21" t="s">
        <v>488</v>
      </c>
      <c r="J281" s="24" t="s">
        <v>2849</v>
      </c>
      <c r="K281" s="21" t="s">
        <v>2850</v>
      </c>
      <c r="L281" s="25" t="s">
        <v>2851</v>
      </c>
      <c r="M281" s="26" t="s">
        <v>28</v>
      </c>
      <c r="N281" s="24" t="s">
        <v>340</v>
      </c>
      <c r="O281" s="24" t="s">
        <v>449</v>
      </c>
      <c r="P281" s="27"/>
      <c r="Q281" s="27"/>
      <c r="R281" s="28" t="s">
        <v>2852</v>
      </c>
      <c r="S281" s="8" t="s">
        <v>2853</v>
      </c>
      <c r="T281" s="29" t="s">
        <v>488</v>
      </c>
      <c r="U281" s="24"/>
    </row>
    <row r="282">
      <c r="A282" s="30">
        <v>7.290000688084E12</v>
      </c>
      <c r="B282" s="20" t="s">
        <v>2657</v>
      </c>
      <c r="C282" s="21">
        <v>0.06</v>
      </c>
      <c r="D282" s="21">
        <v>0.23</v>
      </c>
      <c r="E282" s="21">
        <v>0.06</v>
      </c>
      <c r="F282" s="22">
        <v>5.0</v>
      </c>
      <c r="G282" s="23"/>
      <c r="H282" s="24" t="s">
        <v>2658</v>
      </c>
      <c r="I282" s="21" t="s">
        <v>2659</v>
      </c>
      <c r="J282" s="24" t="s">
        <v>2660</v>
      </c>
      <c r="K282" s="21" t="s">
        <v>2661</v>
      </c>
      <c r="L282" s="25" t="s">
        <v>2662</v>
      </c>
      <c r="M282" s="26" t="s">
        <v>37</v>
      </c>
      <c r="N282" s="24" t="s">
        <v>137</v>
      </c>
      <c r="O282" s="24" t="s">
        <v>2663</v>
      </c>
      <c r="P282" s="27"/>
      <c r="Q282" s="27"/>
      <c r="R282" s="31" t="s">
        <v>2664</v>
      </c>
      <c r="S282" s="8" t="s">
        <v>2665</v>
      </c>
      <c r="T282" s="29" t="e">
        <v>#N/A</v>
      </c>
      <c r="U282" s="24"/>
    </row>
    <row r="283">
      <c r="A283" s="30">
        <v>7.290000688114E12</v>
      </c>
      <c r="B283" s="20" t="s">
        <v>2666</v>
      </c>
      <c r="C283" s="21">
        <v>0.09</v>
      </c>
      <c r="D283" s="21">
        <v>0.34</v>
      </c>
      <c r="E283" s="21">
        <v>0.09</v>
      </c>
      <c r="F283" s="22">
        <v>3.0</v>
      </c>
      <c r="G283" s="23"/>
      <c r="H283" s="24" t="s">
        <v>2658</v>
      </c>
      <c r="I283" s="21" t="s">
        <v>2659</v>
      </c>
      <c r="J283" s="24" t="s">
        <v>2667</v>
      </c>
      <c r="K283" s="21" t="s">
        <v>2668</v>
      </c>
      <c r="L283" s="25" t="s">
        <v>2669</v>
      </c>
      <c r="M283" s="26" t="s">
        <v>37</v>
      </c>
      <c r="N283" s="24" t="s">
        <v>137</v>
      </c>
      <c r="O283" s="24" t="s">
        <v>138</v>
      </c>
      <c r="P283" s="27"/>
      <c r="Q283" s="27"/>
      <c r="R283" s="28" t="s">
        <v>2670</v>
      </c>
      <c r="S283" s="8" t="s">
        <v>2671</v>
      </c>
      <c r="T283" s="29" t="e">
        <v>#N/A</v>
      </c>
      <c r="U283" s="24"/>
    </row>
    <row r="284">
      <c r="A284" s="30">
        <v>7.290017888972E12</v>
      </c>
      <c r="B284" s="20" t="s">
        <v>2672</v>
      </c>
      <c r="C284" s="21">
        <v>0.087</v>
      </c>
      <c r="D284" s="21">
        <v>0.255</v>
      </c>
      <c r="E284" s="21">
        <v>0.087</v>
      </c>
      <c r="F284" s="22">
        <v>3.0</v>
      </c>
      <c r="G284" s="23"/>
      <c r="H284" s="24" t="s">
        <v>2658</v>
      </c>
      <c r="I284" s="21" t="s">
        <v>2659</v>
      </c>
      <c r="J284" s="24" t="s">
        <v>2673</v>
      </c>
      <c r="K284" s="21" t="s">
        <v>2674</v>
      </c>
      <c r="L284" s="25" t="s">
        <v>2675</v>
      </c>
      <c r="M284" s="26" t="s">
        <v>28</v>
      </c>
      <c r="N284" s="24" t="s">
        <v>137</v>
      </c>
      <c r="O284" s="24" t="s">
        <v>138</v>
      </c>
      <c r="P284" s="27"/>
      <c r="Q284" s="27"/>
      <c r="R284" s="28" t="s">
        <v>2676</v>
      </c>
      <c r="S284" s="8" t="s">
        <v>2677</v>
      </c>
      <c r="T284" s="29" t="s">
        <v>2678</v>
      </c>
      <c r="U284" s="24"/>
    </row>
    <row r="285">
      <c r="A285" s="30">
        <v>7.0970473562E10</v>
      </c>
      <c r="B285" s="20" t="s">
        <v>2690</v>
      </c>
      <c r="C285" s="21">
        <v>0.155</v>
      </c>
      <c r="D285" s="21">
        <v>0.085</v>
      </c>
      <c r="E285" s="21">
        <v>0.02</v>
      </c>
      <c r="F285" s="22">
        <v>15.0</v>
      </c>
      <c r="G285" s="23"/>
      <c r="H285" s="24" t="s">
        <v>2680</v>
      </c>
      <c r="I285" s="21" t="s">
        <v>2681</v>
      </c>
      <c r="J285" s="24" t="s">
        <v>2691</v>
      </c>
      <c r="K285" s="21" t="s">
        <v>2692</v>
      </c>
      <c r="L285" s="25" t="s">
        <v>2693</v>
      </c>
      <c r="M285" s="26" t="s">
        <v>28</v>
      </c>
      <c r="N285" s="24" t="s">
        <v>2685</v>
      </c>
      <c r="O285" s="24" t="s">
        <v>2686</v>
      </c>
      <c r="P285" s="27"/>
      <c r="Q285" s="27"/>
      <c r="R285" s="28" t="s">
        <v>2694</v>
      </c>
      <c r="S285" s="8" t="s">
        <v>2695</v>
      </c>
      <c r="T285" s="29" t="s">
        <v>2689</v>
      </c>
      <c r="U285" s="24"/>
    </row>
    <row r="286">
      <c r="A286" s="30">
        <v>7.0970471254E10</v>
      </c>
      <c r="B286" s="20" t="s">
        <v>2679</v>
      </c>
      <c r="C286" s="21">
        <v>0.155</v>
      </c>
      <c r="D286" s="21">
        <v>0.085</v>
      </c>
      <c r="E286" s="21">
        <v>0.02</v>
      </c>
      <c r="F286" s="22">
        <v>15.0</v>
      </c>
      <c r="G286" s="23"/>
      <c r="H286" s="24" t="s">
        <v>2680</v>
      </c>
      <c r="I286" s="21" t="s">
        <v>2681</v>
      </c>
      <c r="J286" s="24" t="s">
        <v>2682</v>
      </c>
      <c r="K286" s="21" t="s">
        <v>2683</v>
      </c>
      <c r="L286" s="25" t="s">
        <v>2684</v>
      </c>
      <c r="M286" s="26" t="s">
        <v>28</v>
      </c>
      <c r="N286" s="24" t="s">
        <v>2685</v>
      </c>
      <c r="O286" s="24" t="s">
        <v>2686</v>
      </c>
      <c r="P286" s="27"/>
      <c r="Q286" s="27"/>
      <c r="R286" s="28" t="s">
        <v>2687</v>
      </c>
      <c r="S286" s="8" t="s">
        <v>2688</v>
      </c>
      <c r="T286" s="29" t="s">
        <v>2689</v>
      </c>
      <c r="U286" s="24"/>
    </row>
    <row r="287">
      <c r="A287" s="30">
        <v>7.622201809188E12</v>
      </c>
      <c r="B287" s="20" t="s">
        <v>2696</v>
      </c>
      <c r="C287" s="21">
        <v>0.26</v>
      </c>
      <c r="D287" s="21">
        <v>0.09</v>
      </c>
      <c r="E287" s="21">
        <v>0.06</v>
      </c>
      <c r="F287" s="22">
        <v>5.0</v>
      </c>
      <c r="G287" s="23"/>
      <c r="H287" s="24" t="s">
        <v>2697</v>
      </c>
      <c r="I287" s="21" t="s">
        <v>2698</v>
      </c>
      <c r="J287" s="24" t="s">
        <v>2699</v>
      </c>
      <c r="K287" s="21" t="s">
        <v>2700</v>
      </c>
      <c r="L287" s="25" t="s">
        <v>2701</v>
      </c>
      <c r="M287" s="26" t="s">
        <v>28</v>
      </c>
      <c r="N287" s="24" t="s">
        <v>2364</v>
      </c>
      <c r="O287" s="24" t="s">
        <v>2365</v>
      </c>
      <c r="P287" s="27"/>
      <c r="Q287" s="27"/>
      <c r="R287" s="28" t="s">
        <v>2702</v>
      </c>
      <c r="S287" s="8" t="s">
        <v>2703</v>
      </c>
      <c r="T287" s="29" t="s">
        <v>2698</v>
      </c>
      <c r="U287" s="24"/>
    </row>
    <row r="288">
      <c r="A288" s="30">
        <v>7.622201137052E12</v>
      </c>
      <c r="B288" s="20" t="s">
        <v>2716</v>
      </c>
      <c r="C288" s="21">
        <v>0.14</v>
      </c>
      <c r="D288" s="21">
        <v>0.17</v>
      </c>
      <c r="E288" s="21">
        <v>0.035</v>
      </c>
      <c r="F288" s="22">
        <v>9.0</v>
      </c>
      <c r="G288" s="23"/>
      <c r="H288" s="24" t="s">
        <v>2697</v>
      </c>
      <c r="I288" s="21" t="s">
        <v>2698</v>
      </c>
      <c r="J288" s="24" t="s">
        <v>2717</v>
      </c>
      <c r="K288" s="21" t="s">
        <v>2718</v>
      </c>
      <c r="L288" s="25" t="s">
        <v>2719</v>
      </c>
      <c r="M288" s="26" t="s">
        <v>37</v>
      </c>
      <c r="N288" s="24" t="s">
        <v>2364</v>
      </c>
      <c r="O288" s="24" t="s">
        <v>2647</v>
      </c>
      <c r="P288" s="27"/>
      <c r="Q288" s="27"/>
      <c r="R288" s="28" t="s">
        <v>2720</v>
      </c>
      <c r="S288" s="8" t="s">
        <v>2721</v>
      </c>
      <c r="T288" s="29" t="e">
        <v>#N/A</v>
      </c>
      <c r="U288" s="24"/>
    </row>
    <row r="289">
      <c r="A289" s="30">
        <v>7.622300356767E12</v>
      </c>
      <c r="B289" s="20" t="s">
        <v>2704</v>
      </c>
      <c r="C289" s="21">
        <v>0.26</v>
      </c>
      <c r="D289" s="21">
        <v>0.09</v>
      </c>
      <c r="E289" s="21">
        <v>0.06</v>
      </c>
      <c r="F289" s="22">
        <v>5.0</v>
      </c>
      <c r="G289" s="23"/>
      <c r="H289" s="24" t="s">
        <v>2697</v>
      </c>
      <c r="I289" s="21" t="s">
        <v>2698</v>
      </c>
      <c r="J289" s="24" t="s">
        <v>2705</v>
      </c>
      <c r="K289" s="21" t="s">
        <v>2706</v>
      </c>
      <c r="L289" s="25" t="s">
        <v>2707</v>
      </c>
      <c r="M289" s="26" t="s">
        <v>28</v>
      </c>
      <c r="N289" s="24" t="s">
        <v>2364</v>
      </c>
      <c r="O289" s="24" t="s">
        <v>2647</v>
      </c>
      <c r="P289" s="27"/>
      <c r="Q289" s="27"/>
      <c r="R289" s="28" t="s">
        <v>2708</v>
      </c>
      <c r="S289" s="8" t="s">
        <v>2709</v>
      </c>
      <c r="T289" s="29" t="s">
        <v>2698</v>
      </c>
      <c r="U289" s="24"/>
    </row>
    <row r="290">
      <c r="A290" s="30">
        <v>4.025700001023E12</v>
      </c>
      <c r="B290" s="20" t="s">
        <v>2710</v>
      </c>
      <c r="C290" s="21">
        <v>0.15</v>
      </c>
      <c r="D290" s="21">
        <v>0.079</v>
      </c>
      <c r="E290" s="21">
        <v>0.02</v>
      </c>
      <c r="F290" s="22">
        <v>15.0</v>
      </c>
      <c r="G290" s="23"/>
      <c r="H290" s="24" t="s">
        <v>2697</v>
      </c>
      <c r="I290" s="21" t="s">
        <v>2698</v>
      </c>
      <c r="J290" s="24" t="s">
        <v>2711</v>
      </c>
      <c r="K290" s="21" t="s">
        <v>2712</v>
      </c>
      <c r="L290" s="25" t="s">
        <v>2713</v>
      </c>
      <c r="M290" s="26" t="s">
        <v>28</v>
      </c>
      <c r="N290" s="24" t="s">
        <v>626</v>
      </c>
      <c r="O290" s="24" t="s">
        <v>649</v>
      </c>
      <c r="P290" s="27"/>
      <c r="Q290" s="27"/>
      <c r="R290" s="28" t="s">
        <v>2714</v>
      </c>
      <c r="S290" s="8" t="s">
        <v>2715</v>
      </c>
      <c r="T290" s="29" t="s">
        <v>2698</v>
      </c>
      <c r="U290" s="24"/>
    </row>
    <row r="291">
      <c r="A291" s="30">
        <v>7.290106663121E12</v>
      </c>
      <c r="B291" s="20" t="s">
        <v>2752</v>
      </c>
      <c r="C291" s="21">
        <v>0.06</v>
      </c>
      <c r="D291" s="21">
        <v>0.09999999</v>
      </c>
      <c r="E291" s="21">
        <v>0.02</v>
      </c>
      <c r="F291" s="22">
        <v>15.0</v>
      </c>
      <c r="G291" s="23"/>
      <c r="H291" s="24" t="s">
        <v>2743</v>
      </c>
      <c r="I291" s="21" t="s">
        <v>2744</v>
      </c>
      <c r="J291" s="24" t="s">
        <v>2753</v>
      </c>
      <c r="K291" s="21" t="s">
        <v>2754</v>
      </c>
      <c r="L291" s="25" t="s">
        <v>2755</v>
      </c>
      <c r="M291" s="26" t="s">
        <v>28</v>
      </c>
      <c r="N291" s="24" t="s">
        <v>2756</v>
      </c>
      <c r="O291" s="24" t="s">
        <v>2757</v>
      </c>
      <c r="P291" s="27"/>
      <c r="Q291" s="27"/>
      <c r="R291" s="28" t="s">
        <v>2758</v>
      </c>
      <c r="S291" s="8" t="s">
        <v>2759</v>
      </c>
      <c r="T291" s="29" t="s">
        <v>2760</v>
      </c>
      <c r="U291" s="24"/>
    </row>
    <row r="292">
      <c r="A292" s="30">
        <v>5839313.0</v>
      </c>
      <c r="B292" s="20" t="s">
        <v>2761</v>
      </c>
      <c r="C292" s="21">
        <v>0.07</v>
      </c>
      <c r="D292" s="21">
        <v>0.09</v>
      </c>
      <c r="E292" s="21">
        <v>0.07</v>
      </c>
      <c r="F292" s="22">
        <v>4.0</v>
      </c>
      <c r="G292" s="23"/>
      <c r="H292" s="24" t="s">
        <v>2743</v>
      </c>
      <c r="I292" s="21" t="s">
        <v>2744</v>
      </c>
      <c r="J292" s="24" t="s">
        <v>2762</v>
      </c>
      <c r="K292" s="21" t="s">
        <v>2763</v>
      </c>
      <c r="L292" s="25" t="s">
        <v>2764</v>
      </c>
      <c r="M292" s="26" t="s">
        <v>28</v>
      </c>
      <c r="N292" s="24" t="s">
        <v>1011</v>
      </c>
      <c r="O292" s="24" t="s">
        <v>2748</v>
      </c>
      <c r="P292" s="27"/>
      <c r="Q292" s="27"/>
      <c r="R292" s="31" t="s">
        <v>2765</v>
      </c>
      <c r="S292" s="8" t="s">
        <v>2766</v>
      </c>
      <c r="T292" s="29" t="s">
        <v>2751</v>
      </c>
      <c r="U292" s="24"/>
    </row>
    <row r="293">
      <c r="A293" s="30">
        <v>7.2940761E7</v>
      </c>
      <c r="B293" s="20" t="s">
        <v>2742</v>
      </c>
      <c r="C293" s="21">
        <v>0.07</v>
      </c>
      <c r="D293" s="21">
        <v>0.08</v>
      </c>
      <c r="E293" s="21">
        <v>0.07</v>
      </c>
      <c r="F293" s="22">
        <v>4.0</v>
      </c>
      <c r="G293" s="23"/>
      <c r="H293" s="24" t="s">
        <v>2743</v>
      </c>
      <c r="I293" s="21" t="s">
        <v>2744</v>
      </c>
      <c r="J293" s="24" t="s">
        <v>2745</v>
      </c>
      <c r="K293" s="21" t="s">
        <v>2746</v>
      </c>
      <c r="L293" s="25" t="s">
        <v>2747</v>
      </c>
      <c r="M293" s="26" t="s">
        <v>28</v>
      </c>
      <c r="N293" s="24" t="s">
        <v>1011</v>
      </c>
      <c r="O293" s="24" t="s">
        <v>2748</v>
      </c>
      <c r="P293" s="27"/>
      <c r="Q293" s="27"/>
      <c r="R293" s="31" t="s">
        <v>2749</v>
      </c>
      <c r="S293" s="33" t="s">
        <v>2750</v>
      </c>
      <c r="T293" s="29" t="s">
        <v>2751</v>
      </c>
      <c r="U293" s="24"/>
    </row>
    <row r="294">
      <c r="A294" s="30">
        <v>7.290104066016E12</v>
      </c>
      <c r="B294" s="20" t="s">
        <v>2767</v>
      </c>
      <c r="C294" s="21">
        <v>0.065</v>
      </c>
      <c r="D294" s="21">
        <v>0.09</v>
      </c>
      <c r="E294" s="21">
        <v>0.065</v>
      </c>
      <c r="F294" s="22">
        <v>5.0</v>
      </c>
      <c r="G294" s="23"/>
      <c r="H294" s="24" t="s">
        <v>2743</v>
      </c>
      <c r="I294" s="21" t="s">
        <v>2744</v>
      </c>
      <c r="J294" s="24" t="s">
        <v>2768</v>
      </c>
      <c r="K294" s="21" t="s">
        <v>2769</v>
      </c>
      <c r="L294" s="25" t="s">
        <v>2770</v>
      </c>
      <c r="M294" s="26" t="s">
        <v>28</v>
      </c>
      <c r="N294" s="24" t="s">
        <v>1011</v>
      </c>
      <c r="O294" s="24" t="s">
        <v>2748</v>
      </c>
      <c r="P294" s="27"/>
      <c r="Q294" s="27"/>
      <c r="R294" s="31" t="s">
        <v>2771</v>
      </c>
      <c r="S294" s="33" t="s">
        <v>2772</v>
      </c>
      <c r="T294" s="29" t="s">
        <v>2751</v>
      </c>
      <c r="U294" s="24"/>
    </row>
    <row r="295">
      <c r="A295" s="30">
        <v>7.290006764782E12</v>
      </c>
      <c r="B295" s="20" t="s">
        <v>2823</v>
      </c>
      <c r="C295" s="21">
        <v>0.065</v>
      </c>
      <c r="D295" s="21">
        <v>0.24</v>
      </c>
      <c r="E295" s="21">
        <v>0.065</v>
      </c>
      <c r="F295" s="22">
        <v>5.0</v>
      </c>
      <c r="G295" s="23"/>
      <c r="H295" s="24" t="s">
        <v>2810</v>
      </c>
      <c r="I295" s="21" t="s">
        <v>2811</v>
      </c>
      <c r="J295" s="24" t="s">
        <v>2824</v>
      </c>
      <c r="K295" s="21" t="s">
        <v>2825</v>
      </c>
      <c r="L295" s="25" t="s">
        <v>2826</v>
      </c>
      <c r="M295" s="26" t="s">
        <v>37</v>
      </c>
      <c r="N295" s="24" t="s">
        <v>718</v>
      </c>
      <c r="O295" s="24" t="s">
        <v>719</v>
      </c>
      <c r="P295" s="27"/>
      <c r="Q295" s="27"/>
      <c r="R295" s="28" t="s">
        <v>2827</v>
      </c>
      <c r="S295" s="8" t="s">
        <v>2828</v>
      </c>
      <c r="T295" s="29" t="e">
        <v>#N/A</v>
      </c>
      <c r="U295" s="24"/>
    </row>
    <row r="296">
      <c r="A296" s="30">
        <v>7.290006764768E12</v>
      </c>
      <c r="B296" s="20" t="s">
        <v>2809</v>
      </c>
      <c r="C296" s="21">
        <v>0.065</v>
      </c>
      <c r="D296" s="21">
        <v>0.24</v>
      </c>
      <c r="E296" s="21">
        <v>0.065</v>
      </c>
      <c r="F296" s="22">
        <v>5.0</v>
      </c>
      <c r="G296" s="23"/>
      <c r="H296" s="24" t="s">
        <v>2810</v>
      </c>
      <c r="I296" s="21" t="s">
        <v>2811</v>
      </c>
      <c r="J296" s="24" t="s">
        <v>2812</v>
      </c>
      <c r="K296" s="21" t="s">
        <v>2813</v>
      </c>
      <c r="L296" s="25" t="s">
        <v>2814</v>
      </c>
      <c r="M296" s="26" t="s">
        <v>37</v>
      </c>
      <c r="N296" s="24" t="s">
        <v>718</v>
      </c>
      <c r="O296" s="24" t="s">
        <v>719</v>
      </c>
      <c r="P296" s="27"/>
      <c r="Q296" s="27"/>
      <c r="R296" s="28" t="s">
        <v>2815</v>
      </c>
      <c r="S296" s="8" t="s">
        <v>2816</v>
      </c>
      <c r="T296" s="29" t="e">
        <v>#N/A</v>
      </c>
      <c r="U296" s="24"/>
    </row>
    <row r="297">
      <c r="A297" s="30">
        <v>7.290010237562E12</v>
      </c>
      <c r="B297" s="20" t="s">
        <v>2817</v>
      </c>
      <c r="C297" s="21">
        <v>0.065</v>
      </c>
      <c r="D297" s="21">
        <v>0.24</v>
      </c>
      <c r="E297" s="21">
        <v>0.065</v>
      </c>
      <c r="F297" s="22">
        <v>5.0</v>
      </c>
      <c r="G297" s="23"/>
      <c r="H297" s="24" t="s">
        <v>2810</v>
      </c>
      <c r="I297" s="21" t="s">
        <v>2811</v>
      </c>
      <c r="J297" s="24" t="s">
        <v>2818</v>
      </c>
      <c r="K297" s="21" t="s">
        <v>2819</v>
      </c>
      <c r="L297" s="25" t="s">
        <v>2820</v>
      </c>
      <c r="M297" s="26" t="s">
        <v>28</v>
      </c>
      <c r="N297" s="24" t="s">
        <v>1351</v>
      </c>
      <c r="O297" s="24" t="s">
        <v>1359</v>
      </c>
      <c r="P297" s="27"/>
      <c r="Q297" s="27"/>
      <c r="R297" s="28" t="s">
        <v>2821</v>
      </c>
      <c r="S297" s="8" t="s">
        <v>2822</v>
      </c>
      <c r="T297" s="29" t="s">
        <v>2811</v>
      </c>
      <c r="U297" s="24"/>
    </row>
    <row r="298">
      <c r="A298" s="30">
        <v>433745.0</v>
      </c>
      <c r="B298" s="20" t="s">
        <v>2829</v>
      </c>
      <c r="C298" s="21">
        <v>0.08</v>
      </c>
      <c r="D298" s="21">
        <v>0.33</v>
      </c>
      <c r="E298" s="21">
        <v>0.08</v>
      </c>
      <c r="F298" s="22">
        <v>4.0</v>
      </c>
      <c r="G298" s="23"/>
      <c r="H298" s="24" t="s">
        <v>2810</v>
      </c>
      <c r="I298" s="21" t="s">
        <v>2811</v>
      </c>
      <c r="J298" s="24" t="s">
        <v>2830</v>
      </c>
      <c r="K298" s="21" t="s">
        <v>2831</v>
      </c>
      <c r="L298" s="25" t="s">
        <v>2832</v>
      </c>
      <c r="M298" s="26" t="s">
        <v>28</v>
      </c>
      <c r="N298" s="24" t="s">
        <v>1351</v>
      </c>
      <c r="O298" s="24" t="s">
        <v>1352</v>
      </c>
      <c r="P298" s="27"/>
      <c r="Q298" s="27"/>
      <c r="R298" s="28" t="s">
        <v>2833</v>
      </c>
      <c r="S298" s="8" t="s">
        <v>2834</v>
      </c>
      <c r="T298" s="29" t="s">
        <v>2811</v>
      </c>
      <c r="U298" s="24"/>
    </row>
    <row r="299">
      <c r="A299" s="30">
        <v>7.290008464208E12</v>
      </c>
      <c r="B299" s="20" t="s">
        <v>2471</v>
      </c>
      <c r="C299" s="21">
        <v>0.055</v>
      </c>
      <c r="D299" s="21">
        <v>0.239</v>
      </c>
      <c r="E299" s="21">
        <v>0.055</v>
      </c>
      <c r="F299" s="22">
        <v>5.0</v>
      </c>
      <c r="G299" s="23"/>
      <c r="H299" s="24" t="s">
        <v>2472</v>
      </c>
      <c r="I299" s="21" t="s">
        <v>2473</v>
      </c>
      <c r="J299" s="24" t="s">
        <v>2474</v>
      </c>
      <c r="K299" s="21" t="s">
        <v>5197</v>
      </c>
      <c r="L299" s="25" t="s">
        <v>5198</v>
      </c>
      <c r="M299" s="26" t="s">
        <v>37</v>
      </c>
      <c r="N299" s="24" t="s">
        <v>365</v>
      </c>
      <c r="O299" s="24" t="s">
        <v>536</v>
      </c>
      <c r="P299" s="27"/>
      <c r="Q299" s="27"/>
      <c r="R299" s="28" t="s">
        <v>2477</v>
      </c>
      <c r="S299" s="8" t="s">
        <v>2478</v>
      </c>
      <c r="T299" s="29" t="e">
        <v>#N/A</v>
      </c>
      <c r="U299" s="24"/>
    </row>
    <row r="300">
      <c r="A300" s="30">
        <v>7.290008464338E12</v>
      </c>
      <c r="B300" s="20" t="s">
        <v>2485</v>
      </c>
      <c r="C300" s="21">
        <v>0.058</v>
      </c>
      <c r="D300" s="21">
        <v>0.222</v>
      </c>
      <c r="E300" s="21">
        <v>0.058</v>
      </c>
      <c r="F300" s="22">
        <v>5.0</v>
      </c>
      <c r="G300" s="23"/>
      <c r="H300" s="24" t="s">
        <v>2472</v>
      </c>
      <c r="I300" s="21" t="s">
        <v>2473</v>
      </c>
      <c r="J300" s="24" t="s">
        <v>2486</v>
      </c>
      <c r="K300" s="21" t="s">
        <v>5199</v>
      </c>
      <c r="L300" s="25" t="s">
        <v>5200</v>
      </c>
      <c r="M300" s="26" t="s">
        <v>37</v>
      </c>
      <c r="N300" s="24" t="s">
        <v>365</v>
      </c>
      <c r="O300" s="24" t="s">
        <v>536</v>
      </c>
      <c r="P300" s="27"/>
      <c r="Q300" s="27"/>
      <c r="R300" s="28" t="s">
        <v>2489</v>
      </c>
      <c r="S300" s="8" t="s">
        <v>2490</v>
      </c>
      <c r="T300" s="29" t="e">
        <v>#N/A</v>
      </c>
      <c r="U300" s="24"/>
    </row>
    <row r="301">
      <c r="A301" s="30">
        <v>7.290008464222E12</v>
      </c>
      <c r="B301" s="20" t="s">
        <v>2479</v>
      </c>
      <c r="C301" s="21">
        <v>0.065</v>
      </c>
      <c r="D301" s="21">
        <v>0.17</v>
      </c>
      <c r="E301" s="21">
        <v>0.065</v>
      </c>
      <c r="F301" s="22">
        <v>5.0</v>
      </c>
      <c r="G301" s="23"/>
      <c r="H301" s="24" t="s">
        <v>2472</v>
      </c>
      <c r="I301" s="21" t="s">
        <v>2473</v>
      </c>
      <c r="J301" s="24" t="s">
        <v>2480</v>
      </c>
      <c r="K301" s="21" t="s">
        <v>5201</v>
      </c>
      <c r="L301" s="25" t="s">
        <v>5202</v>
      </c>
      <c r="M301" s="26" t="s">
        <v>37</v>
      </c>
      <c r="N301" s="24" t="s">
        <v>365</v>
      </c>
      <c r="O301" s="24" t="s">
        <v>543</v>
      </c>
      <c r="P301" s="27"/>
      <c r="Q301" s="27"/>
      <c r="R301" s="28" t="s">
        <v>2483</v>
      </c>
      <c r="S301" s="8" t="s">
        <v>2484</v>
      </c>
      <c r="T301" s="29" t="e">
        <v>#N/A</v>
      </c>
      <c r="U301" s="24"/>
    </row>
    <row r="302">
      <c r="A302" s="30">
        <v>7.290008464475E12</v>
      </c>
      <c r="B302" s="20" t="s">
        <v>2491</v>
      </c>
      <c r="C302" s="21">
        <v>0.065</v>
      </c>
      <c r="D302" s="21">
        <v>0.17</v>
      </c>
      <c r="E302" s="21">
        <v>0.065</v>
      </c>
      <c r="F302" s="22">
        <v>5.0</v>
      </c>
      <c r="G302" s="23"/>
      <c r="H302" s="24" t="s">
        <v>2472</v>
      </c>
      <c r="I302" s="21" t="s">
        <v>2473</v>
      </c>
      <c r="J302" s="24" t="s">
        <v>2492</v>
      </c>
      <c r="K302" s="21" t="s">
        <v>5203</v>
      </c>
      <c r="L302" s="25" t="s">
        <v>5204</v>
      </c>
      <c r="M302" s="26" t="s">
        <v>37</v>
      </c>
      <c r="N302" s="24" t="s">
        <v>365</v>
      </c>
      <c r="O302" s="24" t="s">
        <v>543</v>
      </c>
      <c r="P302" s="27"/>
      <c r="Q302" s="27"/>
      <c r="R302" s="28" t="s">
        <v>2495</v>
      </c>
      <c r="S302" s="8" t="s">
        <v>2496</v>
      </c>
      <c r="T302" s="29" t="e">
        <v>#N/A</v>
      </c>
      <c r="U302" s="24"/>
    </row>
    <row r="303">
      <c r="A303" s="30">
        <v>7.290012921032E12</v>
      </c>
      <c r="B303" s="20" t="s">
        <v>2505</v>
      </c>
      <c r="C303" s="21">
        <v>0.06</v>
      </c>
      <c r="D303" s="21">
        <v>0.228</v>
      </c>
      <c r="E303" s="21">
        <v>0.06</v>
      </c>
      <c r="F303" s="22">
        <v>5.0</v>
      </c>
      <c r="G303" s="23"/>
      <c r="H303" s="24" t="s">
        <v>2498</v>
      </c>
      <c r="I303" s="21" t="s">
        <v>2499</v>
      </c>
      <c r="J303" s="24" t="s">
        <v>2506</v>
      </c>
      <c r="K303" s="21" t="s">
        <v>2507</v>
      </c>
      <c r="L303" s="25" t="s">
        <v>2508</v>
      </c>
      <c r="M303" s="26" t="s">
        <v>28</v>
      </c>
      <c r="N303" s="24" t="s">
        <v>365</v>
      </c>
      <c r="O303" s="24" t="s">
        <v>536</v>
      </c>
      <c r="P303" s="27"/>
      <c r="Q303" s="27"/>
      <c r="R303" s="28" t="s">
        <v>2509</v>
      </c>
      <c r="S303" s="8" t="s">
        <v>2510</v>
      </c>
      <c r="T303" s="29" t="s">
        <v>2499</v>
      </c>
      <c r="U303" s="24"/>
    </row>
    <row r="304">
      <c r="A304" s="30">
        <v>7.290012921025E12</v>
      </c>
      <c r="B304" s="20" t="s">
        <v>2497</v>
      </c>
      <c r="C304" s="21">
        <v>0.06</v>
      </c>
      <c r="D304" s="21">
        <v>0.228</v>
      </c>
      <c r="E304" s="21">
        <v>0.06</v>
      </c>
      <c r="F304" s="22">
        <v>5.0</v>
      </c>
      <c r="G304" s="23"/>
      <c r="H304" s="24" t="s">
        <v>2498</v>
      </c>
      <c r="I304" s="21" t="s">
        <v>2499</v>
      </c>
      <c r="J304" s="24" t="s">
        <v>2500</v>
      </c>
      <c r="K304" s="21" t="s">
        <v>2501</v>
      </c>
      <c r="L304" s="25" t="s">
        <v>2502</v>
      </c>
      <c r="M304" s="26" t="s">
        <v>28</v>
      </c>
      <c r="N304" s="24" t="s">
        <v>365</v>
      </c>
      <c r="O304" s="24" t="s">
        <v>536</v>
      </c>
      <c r="P304" s="27"/>
      <c r="Q304" s="27"/>
      <c r="R304" s="28" t="s">
        <v>2503</v>
      </c>
      <c r="S304" s="8" t="s">
        <v>2504</v>
      </c>
      <c r="T304" s="29" t="s">
        <v>2499</v>
      </c>
      <c r="U304" s="24"/>
    </row>
    <row r="305">
      <c r="A305" s="30">
        <v>7.29010068065E12</v>
      </c>
      <c r="B305" s="20" t="s">
        <v>2541</v>
      </c>
      <c r="C305" s="21">
        <v>0.08</v>
      </c>
      <c r="D305" s="21">
        <v>0.09999999</v>
      </c>
      <c r="E305" s="21">
        <v>0.02</v>
      </c>
      <c r="F305" s="22">
        <v>15.0</v>
      </c>
      <c r="G305" s="23"/>
      <c r="H305" s="24" t="s">
        <v>2512</v>
      </c>
      <c r="I305" s="21" t="s">
        <v>2513</v>
      </c>
      <c r="J305" s="24" t="s">
        <v>2542</v>
      </c>
      <c r="K305" s="21" t="s">
        <v>2543</v>
      </c>
      <c r="L305" s="25" t="s">
        <v>2544</v>
      </c>
      <c r="M305" s="26" t="s">
        <v>28</v>
      </c>
      <c r="N305" s="24" t="s">
        <v>2518</v>
      </c>
      <c r="O305" s="24" t="s">
        <v>2519</v>
      </c>
      <c r="P305" s="27"/>
      <c r="Q305" s="27"/>
      <c r="R305" s="28" t="s">
        <v>2545</v>
      </c>
      <c r="S305" s="8" t="s">
        <v>2546</v>
      </c>
      <c r="T305" s="29" t="s">
        <v>2522</v>
      </c>
      <c r="U305" s="24"/>
    </row>
    <row r="306">
      <c r="A306" s="30">
        <v>73750.0</v>
      </c>
      <c r="B306" s="20" t="s">
        <v>2511</v>
      </c>
      <c r="C306" s="21">
        <v>0.08</v>
      </c>
      <c r="D306" s="21">
        <v>0.09999999</v>
      </c>
      <c r="E306" s="21">
        <v>0.02</v>
      </c>
      <c r="F306" s="22">
        <v>15.0</v>
      </c>
      <c r="G306" s="23"/>
      <c r="H306" s="24" t="s">
        <v>2512</v>
      </c>
      <c r="I306" s="21" t="s">
        <v>2513</v>
      </c>
      <c r="J306" s="24" t="s">
        <v>2515</v>
      </c>
      <c r="K306" s="21" t="s">
        <v>2516</v>
      </c>
      <c r="L306" s="25" t="s">
        <v>2517</v>
      </c>
      <c r="M306" s="26" t="s">
        <v>28</v>
      </c>
      <c r="N306" s="24" t="s">
        <v>2518</v>
      </c>
      <c r="O306" s="24" t="s">
        <v>2519</v>
      </c>
      <c r="P306" s="27"/>
      <c r="Q306" s="27"/>
      <c r="R306" s="28" t="s">
        <v>2520</v>
      </c>
      <c r="S306" s="8" t="s">
        <v>2521</v>
      </c>
      <c r="T306" s="29" t="s">
        <v>2522</v>
      </c>
      <c r="U306" s="24"/>
    </row>
    <row r="307">
      <c r="A307" s="30">
        <v>7.290112969538E12</v>
      </c>
      <c r="B307" s="20" t="s">
        <v>2535</v>
      </c>
      <c r="C307" s="21">
        <v>0.08</v>
      </c>
      <c r="D307" s="21">
        <v>0.09999999</v>
      </c>
      <c r="E307" s="21">
        <v>0.07</v>
      </c>
      <c r="F307" s="22">
        <v>4.0</v>
      </c>
      <c r="G307" s="23"/>
      <c r="H307" s="24" t="s">
        <v>2512</v>
      </c>
      <c r="I307" s="21" t="s">
        <v>2513</v>
      </c>
      <c r="J307" s="24" t="s">
        <v>2536</v>
      </c>
      <c r="K307" s="21" t="s">
        <v>2537</v>
      </c>
      <c r="L307" s="25" t="s">
        <v>2538</v>
      </c>
      <c r="M307" s="26" t="s">
        <v>28</v>
      </c>
      <c r="N307" s="24" t="s">
        <v>2518</v>
      </c>
      <c r="O307" s="24" t="s">
        <v>2519</v>
      </c>
      <c r="P307" s="27"/>
      <c r="Q307" s="27"/>
      <c r="R307" s="28" t="s">
        <v>2539</v>
      </c>
      <c r="S307" s="8" t="s">
        <v>2540</v>
      </c>
      <c r="T307" s="29" t="s">
        <v>2522</v>
      </c>
      <c r="U307" s="24"/>
    </row>
    <row r="308">
      <c r="A308" s="30">
        <v>7.290112969965E12</v>
      </c>
      <c r="B308" s="20" t="s">
        <v>2547</v>
      </c>
      <c r="C308" s="21">
        <v>0.08</v>
      </c>
      <c r="D308" s="21">
        <v>0.09999999</v>
      </c>
      <c r="E308" s="21">
        <v>0.07</v>
      </c>
      <c r="F308" s="22">
        <v>4.0</v>
      </c>
      <c r="G308" s="23"/>
      <c r="H308" s="24" t="s">
        <v>2512</v>
      </c>
      <c r="I308" s="21" t="s">
        <v>2513</v>
      </c>
      <c r="J308" s="24" t="s">
        <v>2548</v>
      </c>
      <c r="K308" s="21" t="s">
        <v>2549</v>
      </c>
      <c r="L308" s="25" t="s">
        <v>2550</v>
      </c>
      <c r="M308" s="26" t="s">
        <v>28</v>
      </c>
      <c r="N308" s="24" t="s">
        <v>2518</v>
      </c>
      <c r="O308" s="24" t="s">
        <v>2519</v>
      </c>
      <c r="P308" s="27"/>
      <c r="Q308" s="27"/>
      <c r="R308" s="28" t="s">
        <v>2551</v>
      </c>
      <c r="S308" s="8" t="s">
        <v>2552</v>
      </c>
      <c r="T308" s="29" t="s">
        <v>2522</v>
      </c>
      <c r="U308" s="24"/>
    </row>
    <row r="309">
      <c r="A309" s="30">
        <v>67599.0</v>
      </c>
      <c r="B309" s="20" t="s">
        <v>2529</v>
      </c>
      <c r="C309" s="21">
        <v>0.08</v>
      </c>
      <c r="D309" s="21">
        <v>0.09999999</v>
      </c>
      <c r="E309" s="21">
        <v>0.02</v>
      </c>
      <c r="F309" s="22">
        <v>15.0</v>
      </c>
      <c r="G309" s="23"/>
      <c r="H309" s="24" t="s">
        <v>2512</v>
      </c>
      <c r="I309" s="21" t="s">
        <v>2513</v>
      </c>
      <c r="J309" s="24" t="s">
        <v>2530</v>
      </c>
      <c r="K309" s="21" t="s">
        <v>2531</v>
      </c>
      <c r="L309" s="25" t="s">
        <v>2532</v>
      </c>
      <c r="M309" s="26" t="s">
        <v>28</v>
      </c>
      <c r="N309" s="24" t="s">
        <v>2518</v>
      </c>
      <c r="O309" s="24" t="s">
        <v>2519</v>
      </c>
      <c r="P309" s="27"/>
      <c r="Q309" s="27"/>
      <c r="R309" s="28" t="s">
        <v>2533</v>
      </c>
      <c r="S309" s="8" t="s">
        <v>2534</v>
      </c>
      <c r="T309" s="29" t="s">
        <v>2522</v>
      </c>
      <c r="U309" s="24"/>
    </row>
    <row r="310">
      <c r="A310" s="30">
        <v>65557.0</v>
      </c>
      <c r="B310" s="20" t="s">
        <v>2523</v>
      </c>
      <c r="C310" s="21">
        <v>0.08</v>
      </c>
      <c r="D310" s="21">
        <v>0.09999999</v>
      </c>
      <c r="E310" s="21">
        <v>0.02</v>
      </c>
      <c r="F310" s="22">
        <v>15.0</v>
      </c>
      <c r="G310" s="23"/>
      <c r="H310" s="24" t="s">
        <v>2512</v>
      </c>
      <c r="I310" s="21" t="s">
        <v>2513</v>
      </c>
      <c r="J310" s="24" t="s">
        <v>2524</v>
      </c>
      <c r="K310" s="21" t="s">
        <v>2525</v>
      </c>
      <c r="L310" s="25" t="s">
        <v>2526</v>
      </c>
      <c r="M310" s="26" t="s">
        <v>28</v>
      </c>
      <c r="N310" s="24" t="s">
        <v>2518</v>
      </c>
      <c r="O310" s="24" t="s">
        <v>2519</v>
      </c>
      <c r="P310" s="27"/>
      <c r="Q310" s="27"/>
      <c r="R310" s="28" t="s">
        <v>2527</v>
      </c>
      <c r="S310" s="8" t="s">
        <v>2528</v>
      </c>
      <c r="T310" s="29" t="s">
        <v>2522</v>
      </c>
      <c r="U310" s="24"/>
    </row>
    <row r="311">
      <c r="A311" s="30">
        <v>8.7311396E7</v>
      </c>
      <c r="B311" s="20" t="s">
        <v>2621</v>
      </c>
      <c r="C311" s="21">
        <v>0.138</v>
      </c>
      <c r="D311" s="21">
        <v>0.022</v>
      </c>
      <c r="E311" s="21">
        <v>0.02</v>
      </c>
      <c r="F311" s="22">
        <v>15.0</v>
      </c>
      <c r="G311" s="23"/>
      <c r="H311" s="24" t="s">
        <v>2606</v>
      </c>
      <c r="I311" s="21" t="s">
        <v>2607</v>
      </c>
      <c r="J311" s="24" t="s">
        <v>2622</v>
      </c>
      <c r="K311" s="21" t="s">
        <v>2623</v>
      </c>
      <c r="L311" s="25" t="s">
        <v>2624</v>
      </c>
      <c r="M311" s="26" t="s">
        <v>28</v>
      </c>
      <c r="N311" s="24" t="s">
        <v>2625</v>
      </c>
      <c r="O311" s="24" t="s">
        <v>2626</v>
      </c>
      <c r="P311" s="27"/>
      <c r="Q311" s="27"/>
      <c r="R311" s="28" t="s">
        <v>2627</v>
      </c>
      <c r="S311" s="8" t="s">
        <v>2628</v>
      </c>
      <c r="T311" s="29" t="s">
        <v>2607</v>
      </c>
      <c r="U311" s="24"/>
    </row>
    <row r="312">
      <c r="A312" s="30">
        <v>8.0854753E7</v>
      </c>
      <c r="B312" s="20" t="s">
        <v>2635</v>
      </c>
      <c r="C312" s="21">
        <v>0.09999999</v>
      </c>
      <c r="D312" s="21">
        <v>0.05</v>
      </c>
      <c r="E312" s="21">
        <v>0.01</v>
      </c>
      <c r="F312" s="22">
        <v>30.0</v>
      </c>
      <c r="G312" s="23"/>
      <c r="H312" s="24" t="s">
        <v>2606</v>
      </c>
      <c r="I312" s="21" t="s">
        <v>2607</v>
      </c>
      <c r="J312" s="24" t="s">
        <v>2636</v>
      </c>
      <c r="K312" s="21" t="s">
        <v>2637</v>
      </c>
      <c r="L312" s="25" t="s">
        <v>2638</v>
      </c>
      <c r="M312" s="26" t="s">
        <v>28</v>
      </c>
      <c r="N312" s="24" t="s">
        <v>2611</v>
      </c>
      <c r="O312" s="24" t="s">
        <v>2612</v>
      </c>
      <c r="P312" s="27"/>
      <c r="Q312" s="27"/>
      <c r="R312" s="28" t="s">
        <v>2639</v>
      </c>
      <c r="S312" s="33" t="s">
        <v>2640</v>
      </c>
      <c r="T312" s="29" t="s">
        <v>2607</v>
      </c>
      <c r="U312" s="24"/>
    </row>
    <row r="313">
      <c r="A313" s="30">
        <v>8.0831402E7</v>
      </c>
      <c r="B313" s="20" t="s">
        <v>2629</v>
      </c>
      <c r="C313" s="21">
        <v>0.09999999</v>
      </c>
      <c r="D313" s="21">
        <v>0.05</v>
      </c>
      <c r="E313" s="21">
        <v>0.01</v>
      </c>
      <c r="F313" s="22">
        <v>30.0</v>
      </c>
      <c r="G313" s="23"/>
      <c r="H313" s="24" t="s">
        <v>2606</v>
      </c>
      <c r="I313" s="21" t="s">
        <v>2607</v>
      </c>
      <c r="J313" s="24" t="s">
        <v>2630</v>
      </c>
      <c r="K313" s="21" t="s">
        <v>2631</v>
      </c>
      <c r="L313" s="25" t="s">
        <v>2632</v>
      </c>
      <c r="M313" s="26" t="s">
        <v>28</v>
      </c>
      <c r="N313" s="24" t="s">
        <v>2611</v>
      </c>
      <c r="O313" s="24" t="s">
        <v>2612</v>
      </c>
      <c r="P313" s="27"/>
      <c r="Q313" s="27"/>
      <c r="R313" s="28" t="s">
        <v>2633</v>
      </c>
      <c r="S313" s="8" t="s">
        <v>2634</v>
      </c>
      <c r="T313" s="29" t="s">
        <v>2607</v>
      </c>
      <c r="U313" s="24"/>
    </row>
    <row r="314">
      <c r="A314" s="30">
        <v>7.290002752349E12</v>
      </c>
      <c r="B314" s="20" t="s">
        <v>2615</v>
      </c>
      <c r="C314" s="21">
        <v>0.138</v>
      </c>
      <c r="D314" s="21">
        <v>0.022</v>
      </c>
      <c r="E314" s="21">
        <v>0.02</v>
      </c>
      <c r="F314" s="22">
        <v>15.0</v>
      </c>
      <c r="G314" s="23"/>
      <c r="H314" s="24" t="s">
        <v>2606</v>
      </c>
      <c r="I314" s="21" t="s">
        <v>2607</v>
      </c>
      <c r="J314" s="24" t="s">
        <v>2616</v>
      </c>
      <c r="K314" s="21" t="s">
        <v>2617</v>
      </c>
      <c r="L314" s="25" t="s">
        <v>2618</v>
      </c>
      <c r="M314" s="26" t="s">
        <v>37</v>
      </c>
      <c r="N314" s="24" t="s">
        <v>2611</v>
      </c>
      <c r="O314" s="24" t="s">
        <v>2612</v>
      </c>
      <c r="P314" s="27"/>
      <c r="Q314" s="27"/>
      <c r="R314" s="28" t="s">
        <v>2619</v>
      </c>
      <c r="S314" s="8" t="s">
        <v>2620</v>
      </c>
      <c r="T314" s="29" t="e">
        <v>#N/A</v>
      </c>
      <c r="U314" s="24"/>
    </row>
    <row r="315">
      <c r="A315" s="30">
        <v>7.290002752332E12</v>
      </c>
      <c r="B315" s="20" t="s">
        <v>2605</v>
      </c>
      <c r="C315" s="21">
        <v>0.138</v>
      </c>
      <c r="D315" s="21">
        <v>0.022</v>
      </c>
      <c r="E315" s="21">
        <v>0.02</v>
      </c>
      <c r="F315" s="22">
        <v>15.0</v>
      </c>
      <c r="G315" s="23"/>
      <c r="H315" s="24" t="s">
        <v>2606</v>
      </c>
      <c r="I315" s="21" t="s">
        <v>2607</v>
      </c>
      <c r="J315" s="24" t="s">
        <v>2608</v>
      </c>
      <c r="K315" s="21" t="s">
        <v>2609</v>
      </c>
      <c r="L315" s="25" t="s">
        <v>2610</v>
      </c>
      <c r="M315" s="26" t="s">
        <v>37</v>
      </c>
      <c r="N315" s="24" t="s">
        <v>2611</v>
      </c>
      <c r="O315" s="24" t="s">
        <v>2612</v>
      </c>
      <c r="P315" s="27"/>
      <c r="Q315" s="27"/>
      <c r="R315" s="28" t="s">
        <v>2613</v>
      </c>
      <c r="S315" s="8" t="s">
        <v>2614</v>
      </c>
      <c r="T315" s="29" t="e">
        <v>#N/A</v>
      </c>
      <c r="U315" s="24"/>
    </row>
    <row r="316">
      <c r="A316" s="30">
        <v>7.2917589E7</v>
      </c>
      <c r="B316" s="20" t="s">
        <v>2597</v>
      </c>
      <c r="C316" s="21">
        <v>0.14</v>
      </c>
      <c r="D316" s="21">
        <v>0.037</v>
      </c>
      <c r="E316" s="21">
        <v>0.02</v>
      </c>
      <c r="F316" s="22">
        <v>15.0</v>
      </c>
      <c r="G316" s="23"/>
      <c r="H316" s="24" t="s">
        <v>2598</v>
      </c>
      <c r="I316" s="21" t="s">
        <v>2599</v>
      </c>
      <c r="J316" s="24" t="s">
        <v>2600</v>
      </c>
      <c r="K316" s="21" t="s">
        <v>2601</v>
      </c>
      <c r="L316" s="25" t="s">
        <v>2602</v>
      </c>
      <c r="M316" s="26" t="s">
        <v>28</v>
      </c>
      <c r="N316" s="24" t="s">
        <v>501</v>
      </c>
      <c r="O316" s="24" t="s">
        <v>502</v>
      </c>
      <c r="P316" s="27"/>
      <c r="Q316" s="27"/>
      <c r="R316" s="31" t="s">
        <v>2603</v>
      </c>
      <c r="S316" s="8" t="s">
        <v>2604</v>
      </c>
      <c r="T316" s="29" t="s">
        <v>2599</v>
      </c>
      <c r="U316" s="24"/>
    </row>
    <row r="317">
      <c r="A317" s="30">
        <v>8.710502231018E12</v>
      </c>
      <c r="B317" s="20" t="s">
        <v>2641</v>
      </c>
      <c r="C317" s="21">
        <v>0.09</v>
      </c>
      <c r="D317" s="21">
        <v>0.16</v>
      </c>
      <c r="E317" s="21">
        <v>0.07</v>
      </c>
      <c r="F317" s="22">
        <v>4.0</v>
      </c>
      <c r="G317" s="23"/>
      <c r="H317" s="24" t="s">
        <v>2642</v>
      </c>
      <c r="I317" s="21" t="s">
        <v>2643</v>
      </c>
      <c r="J317" s="24" t="s">
        <v>2644</v>
      </c>
      <c r="K317" s="21" t="s">
        <v>2645</v>
      </c>
      <c r="L317" s="25" t="s">
        <v>2646</v>
      </c>
      <c r="M317" s="26" t="s">
        <v>37</v>
      </c>
      <c r="N317" s="24" t="s">
        <v>2364</v>
      </c>
      <c r="O317" s="24" t="s">
        <v>2647</v>
      </c>
      <c r="P317" s="27"/>
      <c r="Q317" s="27"/>
      <c r="R317" s="28" t="s">
        <v>2648</v>
      </c>
      <c r="S317" s="8" t="s">
        <v>2649</v>
      </c>
      <c r="T317" s="29" t="e">
        <v>#N/A</v>
      </c>
      <c r="U317" s="24"/>
    </row>
    <row r="318">
      <c r="A318" s="30">
        <v>4.6214731552E10</v>
      </c>
      <c r="B318" s="20" t="s">
        <v>2650</v>
      </c>
      <c r="C318" s="21">
        <v>0.28</v>
      </c>
      <c r="D318" s="21">
        <v>0.08</v>
      </c>
      <c r="E318" s="21">
        <v>0.05</v>
      </c>
      <c r="F318" s="22">
        <v>6.0</v>
      </c>
      <c r="G318" s="23"/>
      <c r="H318" s="24" t="s">
        <v>2642</v>
      </c>
      <c r="I318" s="21" t="s">
        <v>2643</v>
      </c>
      <c r="J318" s="24" t="s">
        <v>2651</v>
      </c>
      <c r="K318" s="21" t="s">
        <v>2652</v>
      </c>
      <c r="L318" s="25" t="s">
        <v>2653</v>
      </c>
      <c r="M318" s="26" t="s">
        <v>28</v>
      </c>
      <c r="N318" s="24" t="s">
        <v>2364</v>
      </c>
      <c r="O318" s="24" t="s">
        <v>2647</v>
      </c>
      <c r="P318" s="27"/>
      <c r="Q318" s="27"/>
      <c r="R318" s="28" t="s">
        <v>2654</v>
      </c>
      <c r="S318" s="8" t="s">
        <v>2655</v>
      </c>
      <c r="T318" s="29" t="s">
        <v>2656</v>
      </c>
      <c r="U318" s="24"/>
    </row>
    <row r="319">
      <c r="A319" s="30">
        <v>5.000159407236E12</v>
      </c>
      <c r="B319" s="20" t="s">
        <v>2553</v>
      </c>
      <c r="C319" s="21">
        <v>0.11</v>
      </c>
      <c r="D319" s="21">
        <v>0.032</v>
      </c>
      <c r="E319" s="21">
        <v>0.02</v>
      </c>
      <c r="F319" s="22">
        <v>15.0</v>
      </c>
      <c r="G319" s="23"/>
      <c r="H319" s="24" t="s">
        <v>2554</v>
      </c>
      <c r="I319" s="21" t="s">
        <v>2555</v>
      </c>
      <c r="J319" s="24" t="s">
        <v>2556</v>
      </c>
      <c r="K319" s="21" t="s">
        <v>2557</v>
      </c>
      <c r="L319" s="25" t="s">
        <v>2558</v>
      </c>
      <c r="M319" s="26" t="s">
        <v>28</v>
      </c>
      <c r="N319" s="24" t="s">
        <v>501</v>
      </c>
      <c r="O319" s="24" t="s">
        <v>502</v>
      </c>
      <c r="P319" s="27"/>
      <c r="Q319" s="27"/>
      <c r="R319" s="31" t="s">
        <v>2559</v>
      </c>
      <c r="S319" s="33" t="s">
        <v>2560</v>
      </c>
      <c r="T319" s="29" t="s">
        <v>2555</v>
      </c>
      <c r="U319" s="24"/>
    </row>
    <row r="320">
      <c r="A320" s="30">
        <v>8.69012006017E12</v>
      </c>
      <c r="B320" s="20" t="s">
        <v>3149</v>
      </c>
      <c r="C320" s="21">
        <v>0.11</v>
      </c>
      <c r="D320" s="21">
        <v>0.03</v>
      </c>
      <c r="E320" s="21">
        <v>0.02</v>
      </c>
      <c r="F320" s="22">
        <v>15.0</v>
      </c>
      <c r="G320" s="23"/>
      <c r="H320" s="24" t="s">
        <v>3150</v>
      </c>
      <c r="I320" s="21" t="s">
        <v>3151</v>
      </c>
      <c r="J320" s="24" t="s">
        <v>3152</v>
      </c>
      <c r="K320" s="21" t="s">
        <v>3153</v>
      </c>
      <c r="L320" s="25" t="s">
        <v>3154</v>
      </c>
      <c r="M320" s="26" t="s">
        <v>28</v>
      </c>
      <c r="N320" s="24" t="s">
        <v>501</v>
      </c>
      <c r="O320" s="24" t="s">
        <v>502</v>
      </c>
      <c r="P320" s="27"/>
      <c r="Q320" s="27"/>
      <c r="R320" s="31" t="s">
        <v>3155</v>
      </c>
      <c r="S320" s="33" t="s">
        <v>3156</v>
      </c>
      <c r="T320" s="29" t="s">
        <v>3157</v>
      </c>
      <c r="U320" s="24"/>
    </row>
    <row r="321">
      <c r="A321" s="30">
        <v>7.290002331025E12</v>
      </c>
      <c r="B321" s="20" t="s">
        <v>3051</v>
      </c>
      <c r="C321" s="21">
        <v>0.065</v>
      </c>
      <c r="D321" s="21">
        <v>0.23</v>
      </c>
      <c r="E321" s="21">
        <v>0.065</v>
      </c>
      <c r="F321" s="22">
        <v>5.0</v>
      </c>
      <c r="G321" s="23"/>
      <c r="H321" s="24" t="s">
        <v>3032</v>
      </c>
      <c r="I321" s="21" t="s">
        <v>3033</v>
      </c>
      <c r="J321" s="24" t="s">
        <v>3052</v>
      </c>
      <c r="K321" s="21" t="s">
        <v>3053</v>
      </c>
      <c r="L321" s="25" t="s">
        <v>3054</v>
      </c>
      <c r="M321" s="26" t="s">
        <v>37</v>
      </c>
      <c r="N321" s="24" t="s">
        <v>137</v>
      </c>
      <c r="O321" s="24" t="s">
        <v>2663</v>
      </c>
      <c r="P321" s="27"/>
      <c r="Q321" s="27"/>
      <c r="R321" s="28" t="s">
        <v>3055</v>
      </c>
      <c r="S321" s="8" t="s">
        <v>3056</v>
      </c>
      <c r="T321" s="29" t="e">
        <v>#N/A</v>
      </c>
      <c r="U321" s="24"/>
    </row>
    <row r="322">
      <c r="A322" s="30">
        <v>7.290002331018E12</v>
      </c>
      <c r="B322" s="20" t="s">
        <v>3045</v>
      </c>
      <c r="C322" s="21">
        <v>0.068</v>
      </c>
      <c r="D322" s="21">
        <v>0.2</v>
      </c>
      <c r="E322" s="21">
        <v>0.068</v>
      </c>
      <c r="F322" s="22">
        <v>4.0</v>
      </c>
      <c r="G322" s="23"/>
      <c r="H322" s="24" t="s">
        <v>3032</v>
      </c>
      <c r="I322" s="21" t="s">
        <v>3033</v>
      </c>
      <c r="J322" s="24" t="s">
        <v>3046</v>
      </c>
      <c r="K322" s="21" t="s">
        <v>3047</v>
      </c>
      <c r="L322" s="25" t="s">
        <v>3048</v>
      </c>
      <c r="M322" s="26" t="s">
        <v>37</v>
      </c>
      <c r="N322" s="24" t="s">
        <v>137</v>
      </c>
      <c r="O322" s="24" t="s">
        <v>2663</v>
      </c>
      <c r="P322" s="27"/>
      <c r="Q322" s="27"/>
      <c r="R322" s="31" t="s">
        <v>3049</v>
      </c>
      <c r="S322" s="8" t="s">
        <v>3050</v>
      </c>
      <c r="T322" s="29" t="e">
        <v>#N/A</v>
      </c>
      <c r="U322" s="24"/>
    </row>
    <row r="323">
      <c r="A323" s="30">
        <v>7.290002331162E12</v>
      </c>
      <c r="B323" s="20" t="s">
        <v>3039</v>
      </c>
      <c r="C323" s="21">
        <v>0.087</v>
      </c>
      <c r="D323" s="21">
        <v>0.34</v>
      </c>
      <c r="E323" s="21">
        <v>0.085</v>
      </c>
      <c r="F323" s="22">
        <v>4.0</v>
      </c>
      <c r="G323" s="23"/>
      <c r="H323" s="24" t="s">
        <v>3032</v>
      </c>
      <c r="I323" s="21" t="s">
        <v>3033</v>
      </c>
      <c r="J323" s="24" t="s">
        <v>3040</v>
      </c>
      <c r="K323" s="21" t="s">
        <v>3041</v>
      </c>
      <c r="L323" s="25" t="s">
        <v>3042</v>
      </c>
      <c r="M323" s="26" t="s">
        <v>37</v>
      </c>
      <c r="N323" s="24" t="s">
        <v>137</v>
      </c>
      <c r="O323" s="24" t="s">
        <v>138</v>
      </c>
      <c r="P323" s="27"/>
      <c r="Q323" s="27"/>
      <c r="R323" s="28" t="s">
        <v>3043</v>
      </c>
      <c r="S323" s="33" t="s">
        <v>3044</v>
      </c>
      <c r="T323" s="29" t="e">
        <v>#N/A</v>
      </c>
      <c r="U323" s="24"/>
    </row>
    <row r="324">
      <c r="A324" s="30">
        <v>7.29000233149E12</v>
      </c>
      <c r="B324" s="20" t="s">
        <v>3031</v>
      </c>
      <c r="C324" s="21">
        <v>0.0868</v>
      </c>
      <c r="D324" s="21">
        <v>0.244</v>
      </c>
      <c r="E324" s="21">
        <v>0.0868</v>
      </c>
      <c r="F324" s="22">
        <v>3.0</v>
      </c>
      <c r="G324" s="23"/>
      <c r="H324" s="24" t="s">
        <v>3032</v>
      </c>
      <c r="I324" s="21" t="s">
        <v>3033</v>
      </c>
      <c r="J324" s="24" t="s">
        <v>3034</v>
      </c>
      <c r="K324" s="21" t="s">
        <v>3035</v>
      </c>
      <c r="L324" s="25" t="s">
        <v>3036</v>
      </c>
      <c r="M324" s="26" t="s">
        <v>37</v>
      </c>
      <c r="N324" s="24" t="s">
        <v>137</v>
      </c>
      <c r="O324" s="24" t="s">
        <v>138</v>
      </c>
      <c r="P324" s="27"/>
      <c r="Q324" s="27"/>
      <c r="R324" s="28" t="s">
        <v>3037</v>
      </c>
      <c r="S324" s="8" t="s">
        <v>3038</v>
      </c>
      <c r="T324" s="29" t="e">
        <v>#N/A</v>
      </c>
      <c r="U324" s="24"/>
    </row>
    <row r="325">
      <c r="A325" s="30">
        <v>7.290002331155E12</v>
      </c>
      <c r="B325" s="20" t="s">
        <v>3068</v>
      </c>
      <c r="C325" s="21">
        <v>0.068</v>
      </c>
      <c r="D325" s="21">
        <v>0.2</v>
      </c>
      <c r="E325" s="21">
        <v>0.068</v>
      </c>
      <c r="F325" s="22">
        <v>4.0</v>
      </c>
      <c r="G325" s="23"/>
      <c r="H325" s="24" t="s">
        <v>3058</v>
      </c>
      <c r="I325" s="21" t="s">
        <v>3059</v>
      </c>
      <c r="J325" s="24" t="s">
        <v>3069</v>
      </c>
      <c r="K325" s="21" t="s">
        <v>3070</v>
      </c>
      <c r="L325" s="25" t="s">
        <v>3071</v>
      </c>
      <c r="M325" s="26" t="s">
        <v>37</v>
      </c>
      <c r="N325" s="24" t="s">
        <v>3064</v>
      </c>
      <c r="O325" s="24" t="s">
        <v>3065</v>
      </c>
      <c r="P325" s="27"/>
      <c r="Q325" s="27"/>
      <c r="R325" s="28" t="s">
        <v>3072</v>
      </c>
      <c r="S325" s="8" t="s">
        <v>3073</v>
      </c>
      <c r="T325" s="29" t="e">
        <v>#N/A</v>
      </c>
      <c r="U325" s="24"/>
    </row>
    <row r="326">
      <c r="A326" s="30">
        <v>7.290002331124E12</v>
      </c>
      <c r="B326" s="20" t="s">
        <v>3057</v>
      </c>
      <c r="C326" s="21">
        <v>0.068</v>
      </c>
      <c r="D326" s="21">
        <v>0.2</v>
      </c>
      <c r="E326" s="21">
        <v>0.068</v>
      </c>
      <c r="F326" s="22">
        <v>4.0</v>
      </c>
      <c r="G326" s="23"/>
      <c r="H326" s="24" t="s">
        <v>3058</v>
      </c>
      <c r="I326" s="21" t="s">
        <v>3059</v>
      </c>
      <c r="J326" s="24" t="s">
        <v>3061</v>
      </c>
      <c r="K326" s="21" t="s">
        <v>3062</v>
      </c>
      <c r="L326" s="25" t="s">
        <v>3063</v>
      </c>
      <c r="M326" s="26" t="s">
        <v>37</v>
      </c>
      <c r="N326" s="24" t="s">
        <v>3064</v>
      </c>
      <c r="O326" s="24" t="s">
        <v>3065</v>
      </c>
      <c r="P326" s="27"/>
      <c r="Q326" s="27"/>
      <c r="R326" s="28" t="s">
        <v>3066</v>
      </c>
      <c r="S326" s="33" t="s">
        <v>3067</v>
      </c>
      <c r="T326" s="29" t="e">
        <v>#N/A</v>
      </c>
      <c r="U326" s="24"/>
    </row>
    <row r="327">
      <c r="A327" s="30">
        <v>7.290002331711E12</v>
      </c>
      <c r="B327" s="20" t="s">
        <v>3106</v>
      </c>
      <c r="C327" s="21">
        <v>0.068</v>
      </c>
      <c r="D327" s="21">
        <v>0.2</v>
      </c>
      <c r="E327" s="21">
        <v>0.068</v>
      </c>
      <c r="F327" s="22">
        <v>4.0</v>
      </c>
      <c r="G327" s="23"/>
      <c r="H327" s="24" t="s">
        <v>3058</v>
      </c>
      <c r="I327" s="21" t="s">
        <v>3059</v>
      </c>
      <c r="J327" s="24" t="s">
        <v>3107</v>
      </c>
      <c r="K327" s="21" t="s">
        <v>3108</v>
      </c>
      <c r="L327" s="25" t="s">
        <v>3109</v>
      </c>
      <c r="M327" s="26" t="s">
        <v>37</v>
      </c>
      <c r="N327" s="24" t="s">
        <v>3064</v>
      </c>
      <c r="O327" s="24" t="s">
        <v>3065</v>
      </c>
      <c r="P327" s="27"/>
      <c r="Q327" s="27"/>
      <c r="R327" s="31" t="s">
        <v>3110</v>
      </c>
      <c r="S327" s="8" t="s">
        <v>3111</v>
      </c>
      <c r="T327" s="29" t="e">
        <v>#N/A</v>
      </c>
      <c r="U327" s="24"/>
    </row>
    <row r="328">
      <c r="A328" s="30">
        <v>7.290015493192E12</v>
      </c>
      <c r="B328" s="20" t="s">
        <v>3100</v>
      </c>
      <c r="C328" s="21">
        <v>0.068</v>
      </c>
      <c r="D328" s="21">
        <v>0.2</v>
      </c>
      <c r="E328" s="21">
        <v>0.068</v>
      </c>
      <c r="F328" s="22">
        <v>4.0</v>
      </c>
      <c r="G328" s="23"/>
      <c r="H328" s="24" t="s">
        <v>3058</v>
      </c>
      <c r="I328" s="21" t="s">
        <v>3059</v>
      </c>
      <c r="J328" s="24" t="s">
        <v>3101</v>
      </c>
      <c r="K328" s="21" t="s">
        <v>3102</v>
      </c>
      <c r="L328" s="25" t="s">
        <v>3103</v>
      </c>
      <c r="M328" s="26" t="s">
        <v>28</v>
      </c>
      <c r="N328" s="24" t="s">
        <v>3064</v>
      </c>
      <c r="O328" s="24" t="s">
        <v>3065</v>
      </c>
      <c r="P328" s="27"/>
      <c r="Q328" s="27"/>
      <c r="R328" s="31" t="s">
        <v>3104</v>
      </c>
      <c r="S328" s="33" t="s">
        <v>3105</v>
      </c>
      <c r="T328" s="29" t="s">
        <v>3099</v>
      </c>
      <c r="U328" s="24"/>
    </row>
    <row r="329">
      <c r="A329" s="30">
        <v>7.290015493208E12</v>
      </c>
      <c r="B329" s="20" t="s">
        <v>3093</v>
      </c>
      <c r="C329" s="21">
        <v>0.068</v>
      </c>
      <c r="D329" s="21">
        <v>0.2</v>
      </c>
      <c r="E329" s="21">
        <v>0.068</v>
      </c>
      <c r="F329" s="22">
        <v>4.0</v>
      </c>
      <c r="G329" s="23"/>
      <c r="H329" s="24" t="s">
        <v>3058</v>
      </c>
      <c r="I329" s="21" t="s">
        <v>3059</v>
      </c>
      <c r="J329" s="24" t="s">
        <v>3094</v>
      </c>
      <c r="K329" s="21" t="s">
        <v>3095</v>
      </c>
      <c r="L329" s="25" t="s">
        <v>3096</v>
      </c>
      <c r="M329" s="26" t="s">
        <v>28</v>
      </c>
      <c r="N329" s="24" t="s">
        <v>3064</v>
      </c>
      <c r="O329" s="24" t="s">
        <v>3065</v>
      </c>
      <c r="P329" s="27"/>
      <c r="Q329" s="27"/>
      <c r="R329" s="28" t="s">
        <v>3097</v>
      </c>
      <c r="S329" s="8" t="s">
        <v>3098</v>
      </c>
      <c r="T329" s="29" t="s">
        <v>3099</v>
      </c>
      <c r="U329" s="24"/>
    </row>
    <row r="330">
      <c r="A330" s="30">
        <v>7.290002331179E12</v>
      </c>
      <c r="B330" s="20" t="s">
        <v>3087</v>
      </c>
      <c r="C330" s="21">
        <v>0.095</v>
      </c>
      <c r="D330" s="21">
        <v>0.3</v>
      </c>
      <c r="E330" s="21">
        <v>0.095</v>
      </c>
      <c r="F330" s="22">
        <v>3.0</v>
      </c>
      <c r="G330" s="23"/>
      <c r="H330" s="24" t="s">
        <v>3058</v>
      </c>
      <c r="I330" s="21" t="s">
        <v>3059</v>
      </c>
      <c r="J330" s="24" t="s">
        <v>3088</v>
      </c>
      <c r="K330" s="21" t="s">
        <v>3089</v>
      </c>
      <c r="L330" s="25" t="s">
        <v>3090</v>
      </c>
      <c r="M330" s="26" t="s">
        <v>37</v>
      </c>
      <c r="N330" s="24" t="s">
        <v>3064</v>
      </c>
      <c r="O330" s="24" t="s">
        <v>3078</v>
      </c>
      <c r="P330" s="27"/>
      <c r="Q330" s="27"/>
      <c r="R330" s="28" t="s">
        <v>3091</v>
      </c>
      <c r="S330" s="8" t="s">
        <v>3092</v>
      </c>
      <c r="T330" s="29" t="e">
        <v>#N/A</v>
      </c>
      <c r="U330" s="24"/>
    </row>
    <row r="331">
      <c r="A331" s="30">
        <v>7.290002331117E12</v>
      </c>
      <c r="B331" s="20" t="s">
        <v>3081</v>
      </c>
      <c r="C331" s="21">
        <v>0.095</v>
      </c>
      <c r="D331" s="21">
        <v>0.3</v>
      </c>
      <c r="E331" s="21">
        <v>0.095</v>
      </c>
      <c r="F331" s="22">
        <v>3.0</v>
      </c>
      <c r="G331" s="23"/>
      <c r="H331" s="24" t="s">
        <v>3058</v>
      </c>
      <c r="I331" s="21" t="s">
        <v>3059</v>
      </c>
      <c r="J331" s="24" t="s">
        <v>3082</v>
      </c>
      <c r="K331" s="21" t="s">
        <v>3083</v>
      </c>
      <c r="L331" s="25" t="s">
        <v>3084</v>
      </c>
      <c r="M331" s="26" t="s">
        <v>37</v>
      </c>
      <c r="N331" s="24" t="s">
        <v>3064</v>
      </c>
      <c r="O331" s="24" t="s">
        <v>3078</v>
      </c>
      <c r="P331" s="27"/>
      <c r="Q331" s="27"/>
      <c r="R331" s="28" t="s">
        <v>3085</v>
      </c>
      <c r="S331" s="8" t="s">
        <v>3086</v>
      </c>
      <c r="T331" s="29" t="e">
        <v>#N/A</v>
      </c>
      <c r="U331" s="24"/>
    </row>
    <row r="332">
      <c r="A332" s="30">
        <v>7.290002331148E12</v>
      </c>
      <c r="B332" s="20" t="s">
        <v>3074</v>
      </c>
      <c r="C332" s="21">
        <v>0.095</v>
      </c>
      <c r="D332" s="21">
        <v>0.3</v>
      </c>
      <c r="E332" s="21">
        <v>0.095</v>
      </c>
      <c r="F332" s="22">
        <v>3.0</v>
      </c>
      <c r="G332" s="23"/>
      <c r="H332" s="24" t="s">
        <v>3058</v>
      </c>
      <c r="I332" s="21" t="s">
        <v>3059</v>
      </c>
      <c r="J332" s="24" t="s">
        <v>3075</v>
      </c>
      <c r="K332" s="21" t="s">
        <v>3076</v>
      </c>
      <c r="L332" s="25" t="s">
        <v>3077</v>
      </c>
      <c r="M332" s="26" t="s">
        <v>37</v>
      </c>
      <c r="N332" s="24" t="s">
        <v>3064</v>
      </c>
      <c r="O332" s="24" t="s">
        <v>3078</v>
      </c>
      <c r="P332" s="27"/>
      <c r="Q332" s="27"/>
      <c r="R332" s="28" t="s">
        <v>3079</v>
      </c>
      <c r="S332" s="8" t="s">
        <v>3080</v>
      </c>
      <c r="T332" s="29" t="e">
        <v>#N/A</v>
      </c>
      <c r="U332" s="24"/>
    </row>
    <row r="333">
      <c r="A333" s="30">
        <v>8.000500227848E12</v>
      </c>
      <c r="B333" s="20" t="s">
        <v>3158</v>
      </c>
      <c r="C333" s="21">
        <v>0.132</v>
      </c>
      <c r="D333" s="21">
        <v>0.161</v>
      </c>
      <c r="E333" s="21">
        <v>0.045</v>
      </c>
      <c r="F333" s="22">
        <v>7.0</v>
      </c>
      <c r="G333" s="23"/>
      <c r="H333" s="24" t="s">
        <v>3159</v>
      </c>
      <c r="I333" s="21" t="s">
        <v>3160</v>
      </c>
      <c r="J333" s="24" t="s">
        <v>3161</v>
      </c>
      <c r="K333" s="21" t="s">
        <v>3162</v>
      </c>
      <c r="L333" s="25" t="s">
        <v>3163</v>
      </c>
      <c r="M333" s="26" t="s">
        <v>28</v>
      </c>
      <c r="N333" s="24" t="s">
        <v>2364</v>
      </c>
      <c r="O333" s="24" t="s">
        <v>3164</v>
      </c>
      <c r="P333" s="27"/>
      <c r="Q333" s="27"/>
      <c r="R333" s="28" t="s">
        <v>3165</v>
      </c>
      <c r="S333" s="8" t="s">
        <v>3166</v>
      </c>
      <c r="T333" s="29" t="s">
        <v>3167</v>
      </c>
      <c r="U333" s="24"/>
    </row>
    <row r="334">
      <c r="A334" s="30">
        <v>7.290106662964E12</v>
      </c>
      <c r="B334" s="20" t="s">
        <v>3138</v>
      </c>
      <c r="C334" s="21">
        <v>0.09999999</v>
      </c>
      <c r="D334" s="21">
        <v>0.14</v>
      </c>
      <c r="E334" s="21">
        <v>0.015</v>
      </c>
      <c r="F334" s="22">
        <v>20.0</v>
      </c>
      <c r="G334" s="23"/>
      <c r="H334" s="24" t="s">
        <v>3139</v>
      </c>
      <c r="I334" s="21" t="s">
        <v>3140</v>
      </c>
      <c r="J334" s="24" t="s">
        <v>3141</v>
      </c>
      <c r="K334" s="21" t="s">
        <v>3142</v>
      </c>
      <c r="L334" s="25" t="s">
        <v>3143</v>
      </c>
      <c r="M334" s="26" t="s">
        <v>28</v>
      </c>
      <c r="N334" s="24" t="s">
        <v>3144</v>
      </c>
      <c r="O334" s="24" t="s">
        <v>3145</v>
      </c>
      <c r="P334" s="27"/>
      <c r="Q334" s="27"/>
      <c r="R334" s="31" t="s">
        <v>3146</v>
      </c>
      <c r="S334" s="8" t="s">
        <v>3147</v>
      </c>
      <c r="T334" s="29" t="s">
        <v>3148</v>
      </c>
      <c r="U334" s="24"/>
    </row>
    <row r="335">
      <c r="A335" s="30">
        <v>7.290100247815E12</v>
      </c>
      <c r="B335" s="20" t="s">
        <v>2936</v>
      </c>
      <c r="C335" s="21">
        <v>0.065</v>
      </c>
      <c r="D335" s="21">
        <v>0.09999999</v>
      </c>
      <c r="E335" s="21">
        <v>0.02</v>
      </c>
      <c r="F335" s="22">
        <v>15.0</v>
      </c>
      <c r="G335" s="23"/>
      <c r="H335" s="24" t="s">
        <v>2926</v>
      </c>
      <c r="I335" s="21" t="s">
        <v>2927</v>
      </c>
      <c r="J335" s="24" t="s">
        <v>2937</v>
      </c>
      <c r="K335" s="21" t="s">
        <v>2938</v>
      </c>
      <c r="L335" s="25" t="s">
        <v>2939</v>
      </c>
      <c r="M335" s="26" t="s">
        <v>28</v>
      </c>
      <c r="N335" s="24" t="s">
        <v>2931</v>
      </c>
      <c r="O335" s="24" t="s">
        <v>2932</v>
      </c>
      <c r="P335" s="27"/>
      <c r="Q335" s="27"/>
      <c r="R335" s="31" t="s">
        <v>2940</v>
      </c>
      <c r="S335" s="33" t="s">
        <v>2941</v>
      </c>
      <c r="T335" s="29" t="s">
        <v>2935</v>
      </c>
      <c r="U335" s="24"/>
    </row>
    <row r="336">
      <c r="A336" s="30">
        <v>7.290100247822E12</v>
      </c>
      <c r="B336" s="20" t="s">
        <v>2961</v>
      </c>
      <c r="C336" s="21">
        <v>0.065</v>
      </c>
      <c r="D336" s="21">
        <v>0.09999999</v>
      </c>
      <c r="E336" s="21">
        <v>0.02</v>
      </c>
      <c r="F336" s="22">
        <v>15.0</v>
      </c>
      <c r="G336" s="23"/>
      <c r="H336" s="24" t="s">
        <v>2926</v>
      </c>
      <c r="I336" s="21" t="s">
        <v>2927</v>
      </c>
      <c r="J336" s="24" t="s">
        <v>2962</v>
      </c>
      <c r="K336" s="21" t="s">
        <v>2963</v>
      </c>
      <c r="L336" s="25" t="s">
        <v>2964</v>
      </c>
      <c r="M336" s="26" t="s">
        <v>28</v>
      </c>
      <c r="N336" s="24" t="s">
        <v>2931</v>
      </c>
      <c r="O336" s="24" t="s">
        <v>2932</v>
      </c>
      <c r="P336" s="27"/>
      <c r="Q336" s="27"/>
      <c r="R336" s="28" t="s">
        <v>2965</v>
      </c>
      <c r="S336" s="8" t="s">
        <v>2966</v>
      </c>
      <c r="T336" s="29" t="s">
        <v>2935</v>
      </c>
      <c r="U336" s="24"/>
    </row>
    <row r="337">
      <c r="A337" s="30">
        <v>7.290100247808E12</v>
      </c>
      <c r="B337" s="20" t="s">
        <v>2925</v>
      </c>
      <c r="C337" s="21">
        <v>0.065</v>
      </c>
      <c r="D337" s="21">
        <v>0.09999999</v>
      </c>
      <c r="E337" s="21">
        <v>0.02</v>
      </c>
      <c r="F337" s="22">
        <v>15.0</v>
      </c>
      <c r="G337" s="23"/>
      <c r="H337" s="24" t="s">
        <v>2926</v>
      </c>
      <c r="I337" s="21" t="s">
        <v>2927</v>
      </c>
      <c r="J337" s="24" t="s">
        <v>2928</v>
      </c>
      <c r="K337" s="21" t="s">
        <v>2929</v>
      </c>
      <c r="L337" s="25" t="s">
        <v>2930</v>
      </c>
      <c r="M337" s="26" t="s">
        <v>28</v>
      </c>
      <c r="N337" s="24" t="s">
        <v>2931</v>
      </c>
      <c r="O337" s="24" t="s">
        <v>2932</v>
      </c>
      <c r="P337" s="27"/>
      <c r="Q337" s="27"/>
      <c r="R337" s="28" t="s">
        <v>2933</v>
      </c>
      <c r="S337" s="8" t="s">
        <v>2934</v>
      </c>
      <c r="T337" s="29" t="s">
        <v>2935</v>
      </c>
      <c r="U337" s="24"/>
    </row>
    <row r="338">
      <c r="A338" s="30">
        <v>7.290112497291E12</v>
      </c>
      <c r="B338" s="20" t="s">
        <v>2949</v>
      </c>
      <c r="C338" s="21">
        <v>0.065</v>
      </c>
      <c r="D338" s="21">
        <v>0.09999999</v>
      </c>
      <c r="E338" s="21">
        <v>0.017</v>
      </c>
      <c r="F338" s="22">
        <v>18.0</v>
      </c>
      <c r="G338" s="23"/>
      <c r="H338" s="24" t="s">
        <v>2926</v>
      </c>
      <c r="I338" s="21" t="s">
        <v>2927</v>
      </c>
      <c r="J338" s="24" t="s">
        <v>2950</v>
      </c>
      <c r="K338" s="21" t="s">
        <v>2951</v>
      </c>
      <c r="L338" s="25" t="s">
        <v>2952</v>
      </c>
      <c r="M338" s="26" t="s">
        <v>28</v>
      </c>
      <c r="N338" s="24" t="s">
        <v>2931</v>
      </c>
      <c r="O338" s="24" t="s">
        <v>2932</v>
      </c>
      <c r="P338" s="27"/>
      <c r="Q338" s="27"/>
      <c r="R338" s="28" t="s">
        <v>2953</v>
      </c>
      <c r="S338" s="33" t="s">
        <v>2954</v>
      </c>
      <c r="T338" s="29" t="s">
        <v>2948</v>
      </c>
      <c r="U338" s="24"/>
    </row>
    <row r="339">
      <c r="A339" s="30">
        <v>7.290112497284E12</v>
      </c>
      <c r="B339" s="20" t="s">
        <v>2942</v>
      </c>
      <c r="C339" s="21">
        <v>0.065</v>
      </c>
      <c r="D339" s="21">
        <v>0.09999999</v>
      </c>
      <c r="E339" s="21">
        <v>0.02</v>
      </c>
      <c r="F339" s="22">
        <v>15.0</v>
      </c>
      <c r="G339" s="23"/>
      <c r="H339" s="24" t="s">
        <v>2926</v>
      </c>
      <c r="I339" s="21" t="s">
        <v>2927</v>
      </c>
      <c r="J339" s="24" t="s">
        <v>2943</v>
      </c>
      <c r="K339" s="21" t="s">
        <v>2944</v>
      </c>
      <c r="L339" s="25" t="s">
        <v>2945</v>
      </c>
      <c r="M339" s="26" t="s">
        <v>28</v>
      </c>
      <c r="N339" s="24" t="s">
        <v>2931</v>
      </c>
      <c r="O339" s="24" t="s">
        <v>2932</v>
      </c>
      <c r="P339" s="27"/>
      <c r="Q339" s="27"/>
      <c r="R339" s="28" t="s">
        <v>2946</v>
      </c>
      <c r="S339" s="8" t="s">
        <v>2947</v>
      </c>
      <c r="T339" s="29" t="s">
        <v>2948</v>
      </c>
      <c r="U339" s="24"/>
    </row>
    <row r="340">
      <c r="A340" s="30">
        <v>7.290100247839E12</v>
      </c>
      <c r="B340" s="20" t="s">
        <v>2955</v>
      </c>
      <c r="C340" s="21">
        <v>0.065</v>
      </c>
      <c r="D340" s="21">
        <v>0.09999999</v>
      </c>
      <c r="E340" s="21">
        <v>0.02</v>
      </c>
      <c r="F340" s="22">
        <v>15.0</v>
      </c>
      <c r="G340" s="23"/>
      <c r="H340" s="24" t="s">
        <v>2926</v>
      </c>
      <c r="I340" s="21" t="s">
        <v>2927</v>
      </c>
      <c r="J340" s="24" t="s">
        <v>2956</v>
      </c>
      <c r="K340" s="21" t="s">
        <v>2957</v>
      </c>
      <c r="L340" s="25" t="s">
        <v>2958</v>
      </c>
      <c r="M340" s="26" t="s">
        <v>28</v>
      </c>
      <c r="N340" s="24" t="s">
        <v>2931</v>
      </c>
      <c r="O340" s="24" t="s">
        <v>2932</v>
      </c>
      <c r="P340" s="27"/>
      <c r="Q340" s="27"/>
      <c r="R340" s="28" t="s">
        <v>2959</v>
      </c>
      <c r="S340" s="8" t="s">
        <v>2960</v>
      </c>
      <c r="T340" s="29" t="s">
        <v>2935</v>
      </c>
      <c r="U340" s="24"/>
    </row>
    <row r="341">
      <c r="A341" s="30">
        <v>8.005200486526E12</v>
      </c>
      <c r="B341" s="20" t="s">
        <v>3025</v>
      </c>
      <c r="C341" s="21">
        <v>0.066</v>
      </c>
      <c r="D341" s="21">
        <v>0.215</v>
      </c>
      <c r="E341" s="21">
        <v>0.066</v>
      </c>
      <c r="F341" s="22">
        <v>5.0</v>
      </c>
      <c r="G341" s="23"/>
      <c r="H341" s="24" t="s">
        <v>3018</v>
      </c>
      <c r="I341" s="21" t="s">
        <v>3019</v>
      </c>
      <c r="J341" s="24" t="s">
        <v>3026</v>
      </c>
      <c r="K341" s="21" t="s">
        <v>3027</v>
      </c>
      <c r="L341" s="25" t="s">
        <v>3028</v>
      </c>
      <c r="M341" s="26" t="s">
        <v>28</v>
      </c>
      <c r="N341" s="24" t="s">
        <v>149</v>
      </c>
      <c r="O341" s="24" t="s">
        <v>150</v>
      </c>
      <c r="P341" s="27"/>
      <c r="Q341" s="27"/>
      <c r="R341" s="28" t="s">
        <v>3029</v>
      </c>
      <c r="S341" s="8" t="s">
        <v>3030</v>
      </c>
      <c r="T341" s="29" t="s">
        <v>3019</v>
      </c>
      <c r="U341" s="24"/>
    </row>
    <row r="342">
      <c r="A342" s="30">
        <v>8.005200496525E12</v>
      </c>
      <c r="B342" s="20" t="s">
        <v>3017</v>
      </c>
      <c r="C342" s="21">
        <v>0.08899999</v>
      </c>
      <c r="D342" s="21">
        <v>0.322</v>
      </c>
      <c r="E342" s="21">
        <v>0.08899999</v>
      </c>
      <c r="F342" s="22">
        <v>3.0</v>
      </c>
      <c r="G342" s="23"/>
      <c r="H342" s="24" t="s">
        <v>3018</v>
      </c>
      <c r="I342" s="21" t="s">
        <v>3019</v>
      </c>
      <c r="J342" s="24" t="s">
        <v>3020</v>
      </c>
      <c r="K342" s="21" t="s">
        <v>3021</v>
      </c>
      <c r="L342" s="25" t="s">
        <v>3022</v>
      </c>
      <c r="M342" s="26" t="s">
        <v>37</v>
      </c>
      <c r="N342" s="24" t="s">
        <v>149</v>
      </c>
      <c r="O342" s="24" t="s">
        <v>163</v>
      </c>
      <c r="P342" s="27"/>
      <c r="Q342" s="27"/>
      <c r="R342" s="28" t="s">
        <v>3023</v>
      </c>
      <c r="S342" s="8" t="s">
        <v>3024</v>
      </c>
      <c r="T342" s="29" t="e">
        <v>#N/A</v>
      </c>
      <c r="U342" s="24"/>
    </row>
    <row r="343">
      <c r="A343" s="30">
        <v>4129118.0</v>
      </c>
      <c r="B343" s="20" t="s">
        <v>2967</v>
      </c>
      <c r="C343" s="21">
        <v>0.09</v>
      </c>
      <c r="D343" s="21">
        <v>0.095</v>
      </c>
      <c r="E343" s="21">
        <v>0.065</v>
      </c>
      <c r="F343" s="22">
        <v>5.0</v>
      </c>
      <c r="G343" s="23"/>
      <c r="H343" s="24" t="s">
        <v>2968</v>
      </c>
      <c r="I343" s="21" t="s">
        <v>2969</v>
      </c>
      <c r="J343" s="24" t="s">
        <v>2970</v>
      </c>
      <c r="K343" s="21" t="s">
        <v>2971</v>
      </c>
      <c r="L343" s="25" t="s">
        <v>2972</v>
      </c>
      <c r="M343" s="26" t="s">
        <v>28</v>
      </c>
      <c r="N343" s="24" t="s">
        <v>2973</v>
      </c>
      <c r="O343" s="24" t="s">
        <v>2974</v>
      </c>
      <c r="P343" s="27"/>
      <c r="Q343" s="27"/>
      <c r="R343" s="28" t="s">
        <v>2975</v>
      </c>
      <c r="S343" s="8" t="s">
        <v>2976</v>
      </c>
      <c r="T343" s="29" t="s">
        <v>2969</v>
      </c>
      <c r="U343" s="24"/>
    </row>
    <row r="344">
      <c r="A344" s="30">
        <v>4129156.0</v>
      </c>
      <c r="B344" s="20" t="s">
        <v>2977</v>
      </c>
      <c r="C344" s="21">
        <v>0.09</v>
      </c>
      <c r="D344" s="21">
        <v>0.095</v>
      </c>
      <c r="E344" s="21">
        <v>0.075</v>
      </c>
      <c r="F344" s="22">
        <v>4.0</v>
      </c>
      <c r="G344" s="23"/>
      <c r="H344" s="24" t="s">
        <v>2968</v>
      </c>
      <c r="I344" s="21" t="s">
        <v>2969</v>
      </c>
      <c r="J344" s="24" t="s">
        <v>2978</v>
      </c>
      <c r="K344" s="21" t="s">
        <v>2979</v>
      </c>
      <c r="L344" s="25" t="s">
        <v>2980</v>
      </c>
      <c r="M344" s="26" t="s">
        <v>28</v>
      </c>
      <c r="N344" s="24" t="s">
        <v>2973</v>
      </c>
      <c r="O344" s="24" t="s">
        <v>2974</v>
      </c>
      <c r="P344" s="27"/>
      <c r="Q344" s="27"/>
      <c r="R344" s="28" t="s">
        <v>2981</v>
      </c>
      <c r="S344" s="8" t="s">
        <v>2982</v>
      </c>
      <c r="T344" s="29" t="s">
        <v>2969</v>
      </c>
      <c r="U344" s="24"/>
    </row>
    <row r="345">
      <c r="A345" s="30">
        <v>4129101.0</v>
      </c>
      <c r="B345" s="20" t="s">
        <v>2983</v>
      </c>
      <c r="C345" s="21">
        <v>0.09</v>
      </c>
      <c r="D345" s="21">
        <v>0.095</v>
      </c>
      <c r="E345" s="21">
        <v>0.065</v>
      </c>
      <c r="F345" s="22">
        <v>5.0</v>
      </c>
      <c r="G345" s="23"/>
      <c r="H345" s="24" t="s">
        <v>2968</v>
      </c>
      <c r="I345" s="21" t="s">
        <v>2969</v>
      </c>
      <c r="J345" s="24" t="s">
        <v>2984</v>
      </c>
      <c r="K345" s="21" t="s">
        <v>2985</v>
      </c>
      <c r="L345" s="25" t="s">
        <v>2986</v>
      </c>
      <c r="M345" s="26" t="s">
        <v>28</v>
      </c>
      <c r="N345" s="24" t="s">
        <v>2973</v>
      </c>
      <c r="O345" s="24" t="s">
        <v>2987</v>
      </c>
      <c r="P345" s="27"/>
      <c r="Q345" s="27"/>
      <c r="R345" s="28" t="s">
        <v>2988</v>
      </c>
      <c r="S345" s="8" t="s">
        <v>2989</v>
      </c>
      <c r="T345" s="29" t="s">
        <v>2969</v>
      </c>
      <c r="U345" s="24"/>
    </row>
    <row r="346">
      <c r="A346" s="30">
        <v>7.290112358011E12</v>
      </c>
      <c r="B346" s="20" t="s">
        <v>3007</v>
      </c>
      <c r="C346" s="21">
        <v>0.18</v>
      </c>
      <c r="D346" s="21">
        <v>0.205</v>
      </c>
      <c r="E346" s="21">
        <v>0.01</v>
      </c>
      <c r="F346" s="22">
        <v>30.0</v>
      </c>
      <c r="G346" s="23"/>
      <c r="H346" s="24" t="s">
        <v>3008</v>
      </c>
      <c r="I346" s="21" t="s">
        <v>3009</v>
      </c>
      <c r="J346" s="24" t="s">
        <v>3010</v>
      </c>
      <c r="K346" s="21" t="s">
        <v>3011</v>
      </c>
      <c r="L346" s="25" t="s">
        <v>3012</v>
      </c>
      <c r="M346" s="26" t="s">
        <v>28</v>
      </c>
      <c r="N346" s="24" t="s">
        <v>501</v>
      </c>
      <c r="O346" s="24" t="s">
        <v>3013</v>
      </c>
      <c r="P346" s="27"/>
      <c r="Q346" s="27"/>
      <c r="R346" s="31" t="s">
        <v>3014</v>
      </c>
      <c r="S346" s="8" t="s">
        <v>3015</v>
      </c>
      <c r="T346" s="29" t="s">
        <v>3016</v>
      </c>
      <c r="U346" s="24"/>
    </row>
    <row r="347">
      <c r="A347" s="30">
        <v>7.290011308858E12</v>
      </c>
      <c r="B347" s="20" t="s">
        <v>3121</v>
      </c>
      <c r="C347" s="21">
        <v>0.115</v>
      </c>
      <c r="D347" s="21">
        <v>0.16</v>
      </c>
      <c r="E347" s="21">
        <v>0.05</v>
      </c>
      <c r="F347" s="22">
        <v>6.0</v>
      </c>
      <c r="G347" s="23"/>
      <c r="H347" s="24" t="s">
        <v>3113</v>
      </c>
      <c r="I347" s="21" t="s">
        <v>3114</v>
      </c>
      <c r="J347" s="24" t="s">
        <v>3122</v>
      </c>
      <c r="K347" s="21" t="s">
        <v>3123</v>
      </c>
      <c r="L347" s="25" t="s">
        <v>3124</v>
      </c>
      <c r="M347" s="26" t="s">
        <v>28</v>
      </c>
      <c r="N347" s="24" t="s">
        <v>3118</v>
      </c>
      <c r="O347" s="24" t="s">
        <v>3119</v>
      </c>
      <c r="P347" s="27"/>
      <c r="Q347" s="27"/>
      <c r="R347" s="31" t="s">
        <v>3125</v>
      </c>
      <c r="S347" s="33" t="s">
        <v>3124</v>
      </c>
      <c r="T347" s="29" t="s">
        <v>3114</v>
      </c>
      <c r="U347" s="21" t="s">
        <v>113</v>
      </c>
    </row>
    <row r="348">
      <c r="A348" s="30">
        <v>7.290112497932E12</v>
      </c>
      <c r="B348" s="20" t="s">
        <v>3112</v>
      </c>
      <c r="C348" s="21">
        <v>0.115</v>
      </c>
      <c r="D348" s="21">
        <v>0.16</v>
      </c>
      <c r="E348" s="21">
        <v>0.06</v>
      </c>
      <c r="F348" s="22">
        <v>5.0</v>
      </c>
      <c r="G348" s="23"/>
      <c r="H348" s="24" t="s">
        <v>3113</v>
      </c>
      <c r="I348" s="21" t="s">
        <v>3114</v>
      </c>
      <c r="J348" s="24" t="s">
        <v>3115</v>
      </c>
      <c r="K348" s="21" t="s">
        <v>3116</v>
      </c>
      <c r="L348" s="25" t="s">
        <v>3117</v>
      </c>
      <c r="M348" s="26" t="s">
        <v>28</v>
      </c>
      <c r="N348" s="24" t="s">
        <v>3118</v>
      </c>
      <c r="O348" s="24" t="s">
        <v>3119</v>
      </c>
      <c r="P348" s="27"/>
      <c r="Q348" s="27"/>
      <c r="R348" s="31" t="s">
        <v>3120</v>
      </c>
      <c r="S348" s="33" t="s">
        <v>3117</v>
      </c>
      <c r="T348" s="29" t="s">
        <v>3114</v>
      </c>
      <c r="U348" s="21" t="s">
        <v>113</v>
      </c>
    </row>
    <row r="349">
      <c r="A349" s="30">
        <v>7.290006764478E12</v>
      </c>
      <c r="B349" s="20" t="s">
        <v>2990</v>
      </c>
      <c r="C349" s="21">
        <v>0.06</v>
      </c>
      <c r="D349" s="21">
        <v>0.225</v>
      </c>
      <c r="E349" s="21">
        <v>0.02</v>
      </c>
      <c r="F349" s="22">
        <v>15.0</v>
      </c>
      <c r="G349" s="23"/>
      <c r="H349" s="24" t="s">
        <v>2991</v>
      </c>
      <c r="I349" s="21" t="s">
        <v>2992</v>
      </c>
      <c r="J349" s="24" t="s">
        <v>2993</v>
      </c>
      <c r="K349" s="21" t="s">
        <v>2994</v>
      </c>
      <c r="L349" s="25" t="s">
        <v>2995</v>
      </c>
      <c r="M349" s="26" t="s">
        <v>37</v>
      </c>
      <c r="N349" s="24" t="s">
        <v>2996</v>
      </c>
      <c r="O349" s="24" t="s">
        <v>2997</v>
      </c>
      <c r="P349" s="27"/>
      <c r="Q349" s="27"/>
      <c r="R349" s="28" t="s">
        <v>2998</v>
      </c>
      <c r="S349" s="8" t="s">
        <v>2999</v>
      </c>
      <c r="T349" s="29" t="e">
        <v>#N/A</v>
      </c>
      <c r="U349" s="24"/>
    </row>
    <row r="350">
      <c r="A350" s="30">
        <v>7.290010237623E12</v>
      </c>
      <c r="B350" s="20" t="s">
        <v>3000</v>
      </c>
      <c r="C350" s="21">
        <v>0.093</v>
      </c>
      <c r="D350" s="21">
        <v>0.33</v>
      </c>
      <c r="E350" s="21">
        <v>0.093</v>
      </c>
      <c r="F350" s="22">
        <v>3.0</v>
      </c>
      <c r="G350" s="23"/>
      <c r="H350" s="24" t="s">
        <v>2991</v>
      </c>
      <c r="I350" s="21" t="s">
        <v>2992</v>
      </c>
      <c r="J350" s="24" t="s">
        <v>3001</v>
      </c>
      <c r="K350" s="21" t="s">
        <v>3002</v>
      </c>
      <c r="L350" s="25" t="s">
        <v>3003</v>
      </c>
      <c r="M350" s="26" t="s">
        <v>28</v>
      </c>
      <c r="N350" s="24" t="s">
        <v>2996</v>
      </c>
      <c r="O350" s="24" t="s">
        <v>3004</v>
      </c>
      <c r="P350" s="27"/>
      <c r="Q350" s="27"/>
      <c r="R350" s="28" t="s">
        <v>3005</v>
      </c>
      <c r="S350" s="8" t="s">
        <v>3006</v>
      </c>
      <c r="T350" s="29" t="s">
        <v>2992</v>
      </c>
      <c r="U350" s="24"/>
    </row>
    <row r="351">
      <c r="A351" s="30">
        <v>7.290008464505E12</v>
      </c>
      <c r="B351" s="20" t="s">
        <v>4040</v>
      </c>
      <c r="C351" s="21">
        <v>0.065</v>
      </c>
      <c r="D351" s="21">
        <v>0.21</v>
      </c>
      <c r="E351" s="21">
        <v>0.065</v>
      </c>
      <c r="F351" s="22">
        <v>5.0</v>
      </c>
      <c r="G351" s="23"/>
      <c r="H351" s="24" t="s">
        <v>4041</v>
      </c>
      <c r="I351" s="21" t="s">
        <v>4028</v>
      </c>
      <c r="J351" s="24" t="s">
        <v>4042</v>
      </c>
      <c r="K351" s="21" t="s">
        <v>4043</v>
      </c>
      <c r="L351" s="25" t="s">
        <v>4044</v>
      </c>
      <c r="M351" s="26" t="s">
        <v>37</v>
      </c>
      <c r="N351" s="24" t="s">
        <v>718</v>
      </c>
      <c r="O351" s="24" t="s">
        <v>719</v>
      </c>
      <c r="P351" s="27"/>
      <c r="Q351" s="27"/>
      <c r="R351" s="31" t="s">
        <v>4045</v>
      </c>
      <c r="S351" s="33" t="s">
        <v>4046</v>
      </c>
      <c r="T351" s="29" t="e">
        <v>#N/A</v>
      </c>
      <c r="U351" s="24"/>
    </row>
    <row r="352">
      <c r="A352" s="30">
        <v>8.850389104637E12</v>
      </c>
      <c r="B352" s="20" t="s">
        <v>4100</v>
      </c>
      <c r="C352" s="21">
        <v>0.053</v>
      </c>
      <c r="D352" s="21">
        <v>0.193</v>
      </c>
      <c r="E352" s="21">
        <v>0.053</v>
      </c>
      <c r="F352" s="22">
        <v>6.0</v>
      </c>
      <c r="G352" s="23"/>
      <c r="H352" s="24" t="s">
        <v>4057</v>
      </c>
      <c r="I352" s="21" t="s">
        <v>4058</v>
      </c>
      <c r="J352" s="24" t="s">
        <v>4101</v>
      </c>
      <c r="K352" s="21" t="s">
        <v>4102</v>
      </c>
      <c r="L352" s="25" t="s">
        <v>4103</v>
      </c>
      <c r="M352" s="26" t="s">
        <v>28</v>
      </c>
      <c r="N352" s="24" t="s">
        <v>3064</v>
      </c>
      <c r="O352" s="24" t="s">
        <v>3065</v>
      </c>
      <c r="P352" s="27"/>
      <c r="Q352" s="27"/>
      <c r="R352" s="28" t="s">
        <v>4104</v>
      </c>
      <c r="S352" s="8" t="s">
        <v>4105</v>
      </c>
      <c r="T352" s="29" t="s">
        <v>4058</v>
      </c>
      <c r="U352" s="24"/>
    </row>
    <row r="353">
      <c r="A353" s="30">
        <v>8.850389115312E12</v>
      </c>
      <c r="B353" s="20" t="s">
        <v>4056</v>
      </c>
      <c r="C353" s="21">
        <v>0.053</v>
      </c>
      <c r="D353" s="21">
        <v>0.193</v>
      </c>
      <c r="E353" s="21">
        <v>0.053</v>
      </c>
      <c r="F353" s="22">
        <v>6.0</v>
      </c>
      <c r="G353" s="23"/>
      <c r="H353" s="24" t="s">
        <v>4057</v>
      </c>
      <c r="I353" s="21" t="s">
        <v>4058</v>
      </c>
      <c r="J353" s="24" t="s">
        <v>4059</v>
      </c>
      <c r="K353" s="21" t="s">
        <v>4060</v>
      </c>
      <c r="L353" s="25" t="s">
        <v>4061</v>
      </c>
      <c r="M353" s="26" t="s">
        <v>28</v>
      </c>
      <c r="N353" s="24" t="s">
        <v>3064</v>
      </c>
      <c r="O353" s="24" t="s">
        <v>3065</v>
      </c>
      <c r="P353" s="27"/>
      <c r="Q353" s="27"/>
      <c r="R353" s="28" t="s">
        <v>4062</v>
      </c>
      <c r="S353" s="8" t="s">
        <v>4063</v>
      </c>
      <c r="T353" s="29" t="s">
        <v>4058</v>
      </c>
      <c r="U353" s="24"/>
    </row>
    <row r="354">
      <c r="A354" s="30">
        <v>8.850389103111E12</v>
      </c>
      <c r="B354" s="20" t="s">
        <v>4076</v>
      </c>
      <c r="C354" s="21">
        <v>0.053</v>
      </c>
      <c r="D354" s="21">
        <v>0.193</v>
      </c>
      <c r="E354" s="21">
        <v>0.053</v>
      </c>
      <c r="F354" s="22">
        <v>6.0</v>
      </c>
      <c r="G354" s="23"/>
      <c r="H354" s="24" t="s">
        <v>4057</v>
      </c>
      <c r="I354" s="21" t="s">
        <v>4058</v>
      </c>
      <c r="J354" s="24" t="s">
        <v>4077</v>
      </c>
      <c r="K354" s="21" t="s">
        <v>4078</v>
      </c>
      <c r="L354" s="25" t="s">
        <v>4079</v>
      </c>
      <c r="M354" s="26" t="s">
        <v>28</v>
      </c>
      <c r="N354" s="24" t="s">
        <v>3064</v>
      </c>
      <c r="O354" s="24" t="s">
        <v>3065</v>
      </c>
      <c r="P354" s="27"/>
      <c r="Q354" s="27"/>
      <c r="R354" s="28" t="s">
        <v>4080</v>
      </c>
      <c r="S354" s="8" t="s">
        <v>4081</v>
      </c>
      <c r="T354" s="29" t="s">
        <v>4058</v>
      </c>
      <c r="U354" s="24"/>
    </row>
    <row r="355">
      <c r="A355" s="30">
        <v>8.850389103128E12</v>
      </c>
      <c r="B355" s="20" t="s">
        <v>4082</v>
      </c>
      <c r="C355" s="21">
        <v>0.053</v>
      </c>
      <c r="D355" s="21">
        <v>0.193</v>
      </c>
      <c r="E355" s="21">
        <v>0.053</v>
      </c>
      <c r="F355" s="22">
        <v>6.0</v>
      </c>
      <c r="G355" s="23"/>
      <c r="H355" s="24" t="s">
        <v>4057</v>
      </c>
      <c r="I355" s="21" t="s">
        <v>4058</v>
      </c>
      <c r="J355" s="24" t="s">
        <v>4083</v>
      </c>
      <c r="K355" s="21" t="s">
        <v>4084</v>
      </c>
      <c r="L355" s="25" t="s">
        <v>4085</v>
      </c>
      <c r="M355" s="26" t="s">
        <v>28</v>
      </c>
      <c r="N355" s="24" t="s">
        <v>3064</v>
      </c>
      <c r="O355" s="24" t="s">
        <v>3065</v>
      </c>
      <c r="P355" s="27"/>
      <c r="Q355" s="27"/>
      <c r="R355" s="28" t="s">
        <v>4086</v>
      </c>
      <c r="S355" s="8" t="s">
        <v>4087</v>
      </c>
      <c r="T355" s="29" t="s">
        <v>4058</v>
      </c>
      <c r="U355" s="24"/>
    </row>
    <row r="356">
      <c r="A356" s="30">
        <v>8.850389105849E12</v>
      </c>
      <c r="B356" s="20" t="s">
        <v>4088</v>
      </c>
      <c r="C356" s="21">
        <v>0.08</v>
      </c>
      <c r="D356" s="21">
        <v>0.295</v>
      </c>
      <c r="E356" s="21">
        <v>0.08</v>
      </c>
      <c r="F356" s="22">
        <v>4.0</v>
      </c>
      <c r="G356" s="23"/>
      <c r="H356" s="24" t="s">
        <v>4057</v>
      </c>
      <c r="I356" s="21" t="s">
        <v>4058</v>
      </c>
      <c r="J356" s="24" t="s">
        <v>4089</v>
      </c>
      <c r="K356" s="21" t="s">
        <v>4090</v>
      </c>
      <c r="L356" s="25" t="s">
        <v>4091</v>
      </c>
      <c r="M356" s="26" t="s">
        <v>28</v>
      </c>
      <c r="N356" s="24" t="s">
        <v>3064</v>
      </c>
      <c r="O356" s="24" t="s">
        <v>3078</v>
      </c>
      <c r="P356" s="27"/>
      <c r="Q356" s="27"/>
      <c r="R356" s="31" t="s">
        <v>4092</v>
      </c>
      <c r="S356" s="8" t="s">
        <v>4093</v>
      </c>
      <c r="T356" s="29" t="s">
        <v>4058</v>
      </c>
      <c r="U356" s="24"/>
    </row>
    <row r="357">
      <c r="A357" s="30">
        <v>8.850389105832E12</v>
      </c>
      <c r="B357" s="20" t="s">
        <v>4070</v>
      </c>
      <c r="C357" s="21">
        <v>0.08</v>
      </c>
      <c r="D357" s="21">
        <v>0.295</v>
      </c>
      <c r="E357" s="21">
        <v>0.08</v>
      </c>
      <c r="F357" s="22">
        <v>4.0</v>
      </c>
      <c r="G357" s="23"/>
      <c r="H357" s="24" t="s">
        <v>4057</v>
      </c>
      <c r="I357" s="21" t="s">
        <v>4058</v>
      </c>
      <c r="J357" s="24" t="s">
        <v>4071</v>
      </c>
      <c r="K357" s="21" t="s">
        <v>4072</v>
      </c>
      <c r="L357" s="25" t="s">
        <v>4073</v>
      </c>
      <c r="M357" s="26" t="s">
        <v>28</v>
      </c>
      <c r="N357" s="24" t="s">
        <v>3064</v>
      </c>
      <c r="O357" s="24" t="s">
        <v>3078</v>
      </c>
      <c r="P357" s="27"/>
      <c r="Q357" s="27"/>
      <c r="R357" s="31" t="s">
        <v>4074</v>
      </c>
      <c r="S357" s="8" t="s">
        <v>4075</v>
      </c>
      <c r="T357" s="29" t="s">
        <v>4058</v>
      </c>
      <c r="U357" s="24"/>
    </row>
    <row r="358">
      <c r="A358" s="30">
        <v>8.850389115336E12</v>
      </c>
      <c r="B358" s="20" t="s">
        <v>4064</v>
      </c>
      <c r="C358" s="21">
        <v>0.08</v>
      </c>
      <c r="D358" s="21">
        <v>0.295</v>
      </c>
      <c r="E358" s="21">
        <v>0.08</v>
      </c>
      <c r="F358" s="22">
        <v>4.0</v>
      </c>
      <c r="G358" s="23"/>
      <c r="H358" s="24" t="s">
        <v>4057</v>
      </c>
      <c r="I358" s="21" t="s">
        <v>4058</v>
      </c>
      <c r="J358" s="24" t="s">
        <v>4065</v>
      </c>
      <c r="K358" s="21" t="s">
        <v>4066</v>
      </c>
      <c r="L358" s="25" t="s">
        <v>4067</v>
      </c>
      <c r="M358" s="26" t="s">
        <v>28</v>
      </c>
      <c r="N358" s="24" t="s">
        <v>3064</v>
      </c>
      <c r="O358" s="24" t="s">
        <v>3078</v>
      </c>
      <c r="P358" s="27"/>
      <c r="Q358" s="27"/>
      <c r="R358" s="28" t="s">
        <v>4068</v>
      </c>
      <c r="S358" s="33" t="s">
        <v>4069</v>
      </c>
      <c r="T358" s="29" t="s">
        <v>4058</v>
      </c>
      <c r="U358" s="24"/>
    </row>
    <row r="359">
      <c r="A359" s="30">
        <v>8.850389105825E12</v>
      </c>
      <c r="B359" s="20" t="s">
        <v>4094</v>
      </c>
      <c r="C359" s="21">
        <v>0.08</v>
      </c>
      <c r="D359" s="21">
        <v>0.295</v>
      </c>
      <c r="E359" s="21">
        <v>0.08</v>
      </c>
      <c r="F359" s="22">
        <v>4.0</v>
      </c>
      <c r="G359" s="23"/>
      <c r="H359" s="24" t="s">
        <v>4057</v>
      </c>
      <c r="I359" s="21" t="s">
        <v>4058</v>
      </c>
      <c r="J359" s="24" t="s">
        <v>4095</v>
      </c>
      <c r="K359" s="21" t="s">
        <v>4096</v>
      </c>
      <c r="L359" s="25" t="s">
        <v>4097</v>
      </c>
      <c r="M359" s="26" t="s">
        <v>28</v>
      </c>
      <c r="N359" s="24" t="s">
        <v>3064</v>
      </c>
      <c r="O359" s="24" t="s">
        <v>3078</v>
      </c>
      <c r="P359" s="27"/>
      <c r="Q359" s="27"/>
      <c r="R359" s="28" t="s">
        <v>4098</v>
      </c>
      <c r="S359" s="8" t="s">
        <v>4099</v>
      </c>
      <c r="T359" s="29" t="s">
        <v>4058</v>
      </c>
      <c r="U359" s="24"/>
    </row>
    <row r="360">
      <c r="A360" s="30">
        <v>7.29001011797E12</v>
      </c>
      <c r="B360" s="20" t="s">
        <v>4012</v>
      </c>
      <c r="C360" s="21">
        <v>0.06</v>
      </c>
      <c r="D360" s="21">
        <v>0.075</v>
      </c>
      <c r="E360" s="21">
        <v>0.24</v>
      </c>
      <c r="F360" s="22">
        <v>1.0</v>
      </c>
      <c r="G360" s="23"/>
      <c r="H360" s="24" t="s">
        <v>4013</v>
      </c>
      <c r="I360" s="21" t="s">
        <v>4014</v>
      </c>
      <c r="J360" s="24" t="s">
        <v>4015</v>
      </c>
      <c r="K360" s="21" t="s">
        <v>4016</v>
      </c>
      <c r="L360" s="25" t="s">
        <v>4017</v>
      </c>
      <c r="M360" s="26" t="s">
        <v>28</v>
      </c>
      <c r="N360" s="24" t="s">
        <v>1794</v>
      </c>
      <c r="O360" s="24" t="s">
        <v>1854</v>
      </c>
      <c r="P360" s="27"/>
      <c r="Q360" s="27"/>
      <c r="R360" s="31" t="s">
        <v>4018</v>
      </c>
      <c r="S360" s="33" t="s">
        <v>4019</v>
      </c>
      <c r="T360" s="29" t="s">
        <v>4014</v>
      </c>
      <c r="U360" s="21" t="s">
        <v>1798</v>
      </c>
    </row>
    <row r="361">
      <c r="A361" s="30">
        <v>7.290106653504E12</v>
      </c>
      <c r="B361" s="20" t="s">
        <v>4020</v>
      </c>
      <c r="C361" s="21">
        <v>0.06</v>
      </c>
      <c r="D361" s="21">
        <v>0.075</v>
      </c>
      <c r="E361" s="21">
        <v>0.24</v>
      </c>
      <c r="F361" s="22">
        <v>1.0</v>
      </c>
      <c r="G361" s="23"/>
      <c r="H361" s="24" t="s">
        <v>4013</v>
      </c>
      <c r="I361" s="21" t="s">
        <v>4014</v>
      </c>
      <c r="J361" s="24" t="s">
        <v>4021</v>
      </c>
      <c r="K361" s="21" t="s">
        <v>4022</v>
      </c>
      <c r="L361" s="25" t="s">
        <v>4023</v>
      </c>
      <c r="M361" s="26" t="s">
        <v>28</v>
      </c>
      <c r="N361" s="24" t="s">
        <v>1794</v>
      </c>
      <c r="O361" s="24" t="s">
        <v>1854</v>
      </c>
      <c r="P361" s="27"/>
      <c r="Q361" s="27"/>
      <c r="R361" s="31" t="s">
        <v>4024</v>
      </c>
      <c r="S361" s="33" t="s">
        <v>4025</v>
      </c>
      <c r="T361" s="29" t="s">
        <v>4014</v>
      </c>
      <c r="U361" s="21" t="s">
        <v>1798</v>
      </c>
    </row>
    <row r="362">
      <c r="A362" s="30">
        <v>7.290010237579E12</v>
      </c>
      <c r="B362" s="20" t="s">
        <v>4266</v>
      </c>
      <c r="C362" s="21">
        <v>0.065</v>
      </c>
      <c r="D362" s="21">
        <v>0.24</v>
      </c>
      <c r="E362" s="21">
        <v>0.065</v>
      </c>
      <c r="F362" s="22">
        <v>5.0</v>
      </c>
      <c r="G362" s="23"/>
      <c r="H362" s="24" t="s">
        <v>4256</v>
      </c>
      <c r="I362" s="21" t="s">
        <v>4257</v>
      </c>
      <c r="J362" s="24" t="s">
        <v>4267</v>
      </c>
      <c r="K362" s="21" t="s">
        <v>4268</v>
      </c>
      <c r="L362" s="25" t="s">
        <v>4269</v>
      </c>
      <c r="M362" s="26" t="s">
        <v>28</v>
      </c>
      <c r="N362" s="24" t="s">
        <v>4261</v>
      </c>
      <c r="O362" s="24" t="s">
        <v>4270</v>
      </c>
      <c r="P362" s="27"/>
      <c r="Q362" s="27"/>
      <c r="R362" s="28" t="s">
        <v>4271</v>
      </c>
      <c r="S362" s="8" t="s">
        <v>4272</v>
      </c>
      <c r="T362" s="29" t="s">
        <v>4265</v>
      </c>
      <c r="U362" s="24"/>
    </row>
    <row r="363">
      <c r="A363" s="30">
        <v>433714.0</v>
      </c>
      <c r="B363" s="20" t="s">
        <v>4255</v>
      </c>
      <c r="C363" s="21">
        <v>0.08</v>
      </c>
      <c r="D363" s="21">
        <v>0.33</v>
      </c>
      <c r="E363" s="21">
        <v>0.08</v>
      </c>
      <c r="F363" s="22">
        <v>4.0</v>
      </c>
      <c r="G363" s="23"/>
      <c r="H363" s="24" t="s">
        <v>4256</v>
      </c>
      <c r="I363" s="21" t="s">
        <v>4257</v>
      </c>
      <c r="J363" s="24" t="s">
        <v>4258</v>
      </c>
      <c r="K363" s="21" t="s">
        <v>4259</v>
      </c>
      <c r="L363" s="25" t="s">
        <v>4260</v>
      </c>
      <c r="M363" s="26" t="s">
        <v>28</v>
      </c>
      <c r="N363" s="24" t="s">
        <v>4261</v>
      </c>
      <c r="O363" s="24" t="s">
        <v>4262</v>
      </c>
      <c r="P363" s="27"/>
      <c r="Q363" s="27"/>
      <c r="R363" s="28" t="s">
        <v>4263</v>
      </c>
      <c r="S363" s="8" t="s">
        <v>4264</v>
      </c>
      <c r="T363" s="29" t="s">
        <v>4265</v>
      </c>
      <c r="U363" s="24"/>
    </row>
    <row r="364">
      <c r="A364" s="30">
        <v>7.290003643387E12</v>
      </c>
      <c r="B364" s="20" t="s">
        <v>5205</v>
      </c>
      <c r="C364" s="21">
        <v>0.09999999</v>
      </c>
      <c r="D364" s="21">
        <v>0.16</v>
      </c>
      <c r="E364" s="21">
        <v>0.057</v>
      </c>
      <c r="F364" s="22">
        <v>5.0</v>
      </c>
      <c r="G364" s="23"/>
      <c r="H364" s="24" t="s">
        <v>4526</v>
      </c>
      <c r="I364" s="21" t="s">
        <v>5206</v>
      </c>
      <c r="J364" s="24" t="s">
        <v>4528</v>
      </c>
      <c r="K364" s="21" t="s">
        <v>4529</v>
      </c>
      <c r="L364" s="25" t="s">
        <v>4530</v>
      </c>
      <c r="M364" s="26" t="s">
        <v>37</v>
      </c>
      <c r="N364" s="24" t="s">
        <v>4531</v>
      </c>
      <c r="O364" s="24" t="s">
        <v>4531</v>
      </c>
      <c r="P364" s="27"/>
      <c r="Q364" s="27"/>
      <c r="R364" s="28" t="s">
        <v>4532</v>
      </c>
      <c r="S364" s="8" t="s">
        <v>4533</v>
      </c>
      <c r="T364" s="29" t="e">
        <v>#N/A</v>
      </c>
      <c r="U364" s="24"/>
    </row>
    <row r="365">
      <c r="A365" s="30">
        <v>7.5001629E12</v>
      </c>
      <c r="B365" s="20" t="s">
        <v>4380</v>
      </c>
      <c r="C365" s="21">
        <v>0.06</v>
      </c>
      <c r="D365" s="21">
        <v>0.235</v>
      </c>
      <c r="E365" s="21">
        <v>0.12</v>
      </c>
      <c r="F365" s="22">
        <v>3.0</v>
      </c>
      <c r="G365" s="23"/>
      <c r="H365" s="24" t="s">
        <v>4381</v>
      </c>
      <c r="I365" s="21" t="s">
        <v>4382</v>
      </c>
      <c r="J365" s="24" t="s">
        <v>4383</v>
      </c>
      <c r="K365" s="21" t="s">
        <v>4384</v>
      </c>
      <c r="L365" s="25" t="s">
        <v>4385</v>
      </c>
      <c r="M365" s="26" t="s">
        <v>28</v>
      </c>
      <c r="N365" s="24" t="s">
        <v>365</v>
      </c>
      <c r="O365" s="24" t="s">
        <v>536</v>
      </c>
      <c r="P365" s="27"/>
      <c r="Q365" s="27"/>
      <c r="R365" s="28" t="s">
        <v>4386</v>
      </c>
      <c r="S365" s="8" t="s">
        <v>4387</v>
      </c>
      <c r="T365" s="29" t="s">
        <v>4382</v>
      </c>
      <c r="U365" s="24"/>
    </row>
    <row r="366">
      <c r="A366" s="30">
        <v>7.290011018474E12</v>
      </c>
      <c r="B366" s="20" t="s">
        <v>4388</v>
      </c>
      <c r="C366" s="21">
        <v>0.055</v>
      </c>
      <c r="D366" s="21">
        <v>0.239</v>
      </c>
      <c r="E366" s="21">
        <v>0.055</v>
      </c>
      <c r="F366" s="22">
        <v>5.0</v>
      </c>
      <c r="G366" s="23"/>
      <c r="H366" s="24" t="s">
        <v>4389</v>
      </c>
      <c r="I366" s="21" t="s">
        <v>4390</v>
      </c>
      <c r="J366" s="24" t="s">
        <v>4391</v>
      </c>
      <c r="K366" s="21" t="s">
        <v>4392</v>
      </c>
      <c r="L366" s="25" t="s">
        <v>4393</v>
      </c>
      <c r="M366" s="26" t="s">
        <v>28</v>
      </c>
      <c r="N366" s="24" t="s">
        <v>512</v>
      </c>
      <c r="O366" s="24" t="s">
        <v>513</v>
      </c>
      <c r="P366" s="27"/>
      <c r="Q366" s="27"/>
      <c r="R366" s="31" t="s">
        <v>4394</v>
      </c>
      <c r="S366" s="8" t="s">
        <v>4395</v>
      </c>
      <c r="T366" s="29" t="s">
        <v>4396</v>
      </c>
      <c r="U366" s="24"/>
    </row>
    <row r="367">
      <c r="A367" s="30">
        <v>2.8400055109E10</v>
      </c>
      <c r="B367" s="20" t="s">
        <v>4492</v>
      </c>
      <c r="C367" s="21">
        <v>0.09</v>
      </c>
      <c r="D367" s="21">
        <v>0.23</v>
      </c>
      <c r="E367" s="21">
        <v>0.08</v>
      </c>
      <c r="F367" s="22">
        <v>4.0</v>
      </c>
      <c r="G367" s="23"/>
      <c r="H367" s="24" t="s">
        <v>4486</v>
      </c>
      <c r="I367" s="21" t="s">
        <v>4487</v>
      </c>
      <c r="J367" s="24" t="s">
        <v>4493</v>
      </c>
      <c r="K367" s="21" t="s">
        <v>5207</v>
      </c>
      <c r="L367" s="25" t="s">
        <v>4495</v>
      </c>
      <c r="M367" s="26" t="s">
        <v>28</v>
      </c>
      <c r="N367" s="24" t="s">
        <v>109</v>
      </c>
      <c r="O367" s="24" t="s">
        <v>3867</v>
      </c>
      <c r="P367" s="27"/>
      <c r="Q367" s="27"/>
      <c r="R367" s="28" t="s">
        <v>4496</v>
      </c>
      <c r="S367" s="8" t="s">
        <v>4495</v>
      </c>
      <c r="T367" s="29" t="s">
        <v>4487</v>
      </c>
      <c r="U367" s="21" t="s">
        <v>113</v>
      </c>
    </row>
    <row r="368">
      <c r="A368" s="30">
        <v>2.8400055093E10</v>
      </c>
      <c r="B368" s="20" t="s">
        <v>4485</v>
      </c>
      <c r="C368" s="21">
        <v>0.09</v>
      </c>
      <c r="D368" s="21">
        <v>0.23</v>
      </c>
      <c r="E368" s="21">
        <v>0.08</v>
      </c>
      <c r="F368" s="22">
        <v>4.0</v>
      </c>
      <c r="G368" s="23"/>
      <c r="H368" s="24" t="s">
        <v>4486</v>
      </c>
      <c r="I368" s="21" t="s">
        <v>4487</v>
      </c>
      <c r="J368" s="24" t="s">
        <v>4488</v>
      </c>
      <c r="K368" s="21" t="s">
        <v>5208</v>
      </c>
      <c r="L368" s="25" t="s">
        <v>4490</v>
      </c>
      <c r="M368" s="26" t="s">
        <v>28</v>
      </c>
      <c r="N368" s="24" t="s">
        <v>109</v>
      </c>
      <c r="O368" s="24" t="s">
        <v>3867</v>
      </c>
      <c r="P368" s="27"/>
      <c r="Q368" s="27"/>
      <c r="R368" s="28" t="s">
        <v>4491</v>
      </c>
      <c r="S368" s="8" t="s">
        <v>4490</v>
      </c>
      <c r="T368" s="29" t="s">
        <v>4487</v>
      </c>
      <c r="U368" s="21" t="s">
        <v>113</v>
      </c>
    </row>
    <row r="369">
      <c r="A369" s="30">
        <v>2.8400055154E10</v>
      </c>
      <c r="B369" s="20" t="s">
        <v>4497</v>
      </c>
      <c r="C369" s="21">
        <v>0.09</v>
      </c>
      <c r="D369" s="21">
        <v>0.23</v>
      </c>
      <c r="E369" s="21">
        <v>0.08</v>
      </c>
      <c r="F369" s="22">
        <v>4.0</v>
      </c>
      <c r="G369" s="23"/>
      <c r="H369" s="24" t="s">
        <v>4486</v>
      </c>
      <c r="I369" s="21" t="s">
        <v>4487</v>
      </c>
      <c r="J369" s="24" t="s">
        <v>4498</v>
      </c>
      <c r="K369" s="21" t="s">
        <v>5209</v>
      </c>
      <c r="L369" s="25" t="s">
        <v>4500</v>
      </c>
      <c r="M369" s="26" t="s">
        <v>28</v>
      </c>
      <c r="N369" s="24" t="s">
        <v>109</v>
      </c>
      <c r="O369" s="24" t="s">
        <v>3867</v>
      </c>
      <c r="P369" s="27"/>
      <c r="Q369" s="27"/>
      <c r="R369" s="28" t="s">
        <v>4501</v>
      </c>
      <c r="S369" s="8" t="s">
        <v>4500</v>
      </c>
      <c r="T369" s="29" t="s">
        <v>4487</v>
      </c>
      <c r="U369" s="21" t="s">
        <v>113</v>
      </c>
    </row>
    <row r="370">
      <c r="A370" s="30">
        <v>7.290002542773E12</v>
      </c>
      <c r="B370" s="20" t="s">
        <v>4502</v>
      </c>
      <c r="C370" s="21">
        <v>0.06</v>
      </c>
      <c r="D370" s="21">
        <v>0.23</v>
      </c>
      <c r="E370" s="21">
        <v>0.06</v>
      </c>
      <c r="F370" s="22">
        <v>5.0</v>
      </c>
      <c r="G370" s="23"/>
      <c r="H370" s="24" t="s">
        <v>4503</v>
      </c>
      <c r="I370" s="21" t="s">
        <v>4504</v>
      </c>
      <c r="J370" s="24" t="s">
        <v>4505</v>
      </c>
      <c r="K370" s="21" t="s">
        <v>4506</v>
      </c>
      <c r="L370" s="25" t="s">
        <v>4507</v>
      </c>
      <c r="M370" s="26" t="s">
        <v>37</v>
      </c>
      <c r="N370" s="24" t="s">
        <v>365</v>
      </c>
      <c r="O370" s="24" t="s">
        <v>536</v>
      </c>
      <c r="P370" s="27"/>
      <c r="Q370" s="27"/>
      <c r="R370" s="28" t="s">
        <v>4508</v>
      </c>
      <c r="S370" s="8" t="s">
        <v>4509</v>
      </c>
      <c r="T370" s="29" t="e">
        <v>#N/A</v>
      </c>
      <c r="U370" s="24"/>
    </row>
    <row r="371">
      <c r="A371" s="30">
        <v>5.410228217732E12</v>
      </c>
      <c r="B371" s="20" t="s">
        <v>4510</v>
      </c>
      <c r="C371" s="21">
        <v>0.065</v>
      </c>
      <c r="D371" s="21">
        <v>0.15</v>
      </c>
      <c r="E371" s="21">
        <v>0.065</v>
      </c>
      <c r="F371" s="22">
        <v>5.0</v>
      </c>
      <c r="G371" s="23"/>
      <c r="H371" s="24" t="s">
        <v>4503</v>
      </c>
      <c r="I371" s="21" t="s">
        <v>4504</v>
      </c>
      <c r="J371" s="24" t="s">
        <v>4511</v>
      </c>
      <c r="K371" s="21" t="s">
        <v>4512</v>
      </c>
      <c r="L371" s="25" t="s">
        <v>4513</v>
      </c>
      <c r="M371" s="26" t="s">
        <v>28</v>
      </c>
      <c r="N371" s="24" t="s">
        <v>365</v>
      </c>
      <c r="O371" s="24" t="s">
        <v>543</v>
      </c>
      <c r="P371" s="27"/>
      <c r="Q371" s="27"/>
      <c r="R371" s="31" t="s">
        <v>4514</v>
      </c>
      <c r="S371" s="33" t="s">
        <v>4515</v>
      </c>
      <c r="T371" s="29" t="s">
        <v>546</v>
      </c>
      <c r="U371" s="24"/>
    </row>
    <row r="372">
      <c r="A372" s="30">
        <v>5.035766044673E12</v>
      </c>
      <c r="B372" s="20" t="s">
        <v>4516</v>
      </c>
      <c r="C372" s="21">
        <v>0.055</v>
      </c>
      <c r="D372" s="21">
        <v>0.239</v>
      </c>
      <c r="E372" s="21">
        <v>0.055</v>
      </c>
      <c r="F372" s="22">
        <v>5.0</v>
      </c>
      <c r="G372" s="23"/>
      <c r="H372" s="24" t="s">
        <v>4517</v>
      </c>
      <c r="I372" s="21" t="s">
        <v>4518</v>
      </c>
      <c r="J372" s="24" t="s">
        <v>4519</v>
      </c>
      <c r="K372" s="21" t="s">
        <v>4520</v>
      </c>
      <c r="L372" s="25" t="s">
        <v>4521</v>
      </c>
      <c r="M372" s="26" t="s">
        <v>28</v>
      </c>
      <c r="N372" s="24" t="s">
        <v>512</v>
      </c>
      <c r="O372" s="24" t="s">
        <v>513</v>
      </c>
      <c r="P372" s="27"/>
      <c r="Q372" s="27"/>
      <c r="R372" s="31" t="s">
        <v>4522</v>
      </c>
      <c r="S372" s="8" t="s">
        <v>4523</v>
      </c>
      <c r="T372" s="29" t="s">
        <v>4524</v>
      </c>
      <c r="U372" s="24"/>
    </row>
    <row r="373">
      <c r="A373" s="30">
        <v>7.290000336282E12</v>
      </c>
      <c r="B373" s="20" t="s">
        <v>712</v>
      </c>
      <c r="C373" s="21">
        <v>0.06</v>
      </c>
      <c r="D373" s="21">
        <v>0.225</v>
      </c>
      <c r="E373" s="21">
        <v>0.06</v>
      </c>
      <c r="F373" s="22">
        <v>5.0</v>
      </c>
      <c r="G373" s="23"/>
      <c r="H373" s="24" t="s">
        <v>713</v>
      </c>
      <c r="I373" s="21" t="s">
        <v>714</v>
      </c>
      <c r="J373" s="24" t="s">
        <v>715</v>
      </c>
      <c r="K373" s="21" t="s">
        <v>716</v>
      </c>
      <c r="L373" s="25" t="s">
        <v>717</v>
      </c>
      <c r="M373" s="26" t="s">
        <v>37</v>
      </c>
      <c r="N373" s="24" t="s">
        <v>718</v>
      </c>
      <c r="O373" s="24" t="s">
        <v>719</v>
      </c>
      <c r="P373" s="27"/>
      <c r="Q373" s="27"/>
      <c r="R373" s="31" t="s">
        <v>720</v>
      </c>
      <c r="S373" s="33" t="s">
        <v>721</v>
      </c>
      <c r="T373" s="29" t="e">
        <v>#N/A</v>
      </c>
      <c r="U373" s="24"/>
    </row>
    <row r="374">
      <c r="A374" s="30">
        <v>5839108.0</v>
      </c>
      <c r="B374" s="20" t="s">
        <v>4545</v>
      </c>
      <c r="C374" s="21">
        <v>0.122</v>
      </c>
      <c r="D374" s="21">
        <v>0.06</v>
      </c>
      <c r="E374" s="21">
        <v>0.08</v>
      </c>
      <c r="F374" s="22">
        <v>4.0</v>
      </c>
      <c r="G374" s="23"/>
      <c r="H374" s="24" t="s">
        <v>4535</v>
      </c>
      <c r="I374" s="21" t="s">
        <v>4536</v>
      </c>
      <c r="J374" s="24" t="s">
        <v>4546</v>
      </c>
      <c r="K374" s="21" t="s">
        <v>4547</v>
      </c>
      <c r="L374" s="25" t="s">
        <v>4548</v>
      </c>
      <c r="M374" s="26" t="s">
        <v>28</v>
      </c>
      <c r="N374" s="24" t="s">
        <v>4540</v>
      </c>
      <c r="O374" s="24" t="s">
        <v>4549</v>
      </c>
      <c r="P374" s="27"/>
      <c r="Q374" s="27"/>
      <c r="R374" s="28" t="s">
        <v>4550</v>
      </c>
      <c r="S374" s="8" t="s">
        <v>4551</v>
      </c>
      <c r="T374" s="29" t="s">
        <v>4544</v>
      </c>
      <c r="U374" s="24"/>
    </row>
    <row r="375">
      <c r="A375" s="30">
        <v>4584351.0</v>
      </c>
      <c r="B375" s="20" t="s">
        <v>4534</v>
      </c>
      <c r="C375" s="21">
        <v>0.122</v>
      </c>
      <c r="D375" s="21">
        <v>0.06</v>
      </c>
      <c r="E375" s="21">
        <v>0.08</v>
      </c>
      <c r="F375" s="22">
        <v>4.0</v>
      </c>
      <c r="G375" s="23"/>
      <c r="H375" s="24" t="s">
        <v>4535</v>
      </c>
      <c r="I375" s="21" t="s">
        <v>4536</v>
      </c>
      <c r="J375" s="24" t="s">
        <v>4537</v>
      </c>
      <c r="K375" s="21" t="s">
        <v>4538</v>
      </c>
      <c r="L375" s="25" t="s">
        <v>4539</v>
      </c>
      <c r="M375" s="26" t="s">
        <v>28</v>
      </c>
      <c r="N375" s="24" t="s">
        <v>4540</v>
      </c>
      <c r="O375" s="24" t="s">
        <v>4541</v>
      </c>
      <c r="P375" s="27"/>
      <c r="Q375" s="27"/>
      <c r="R375" s="28" t="s">
        <v>4542</v>
      </c>
      <c r="S375" s="8" t="s">
        <v>4543</v>
      </c>
      <c r="T375" s="29" t="s">
        <v>4544</v>
      </c>
      <c r="U375" s="24"/>
    </row>
    <row r="376">
      <c r="A376" s="30">
        <v>5.410316983693E12</v>
      </c>
      <c r="B376" s="20" t="s">
        <v>4311</v>
      </c>
      <c r="C376" s="21">
        <v>0.058</v>
      </c>
      <c r="D376" s="21">
        <v>0.212</v>
      </c>
      <c r="E376" s="21">
        <v>0.058</v>
      </c>
      <c r="F376" s="22">
        <v>5.0</v>
      </c>
      <c r="G376" s="23"/>
      <c r="H376" s="24" t="s">
        <v>4312</v>
      </c>
      <c r="I376" s="21" t="s">
        <v>4313</v>
      </c>
      <c r="J376" s="24" t="s">
        <v>4314</v>
      </c>
      <c r="K376" s="21" t="s">
        <v>4315</v>
      </c>
      <c r="L376" s="25" t="s">
        <v>4316</v>
      </c>
      <c r="M376" s="26" t="s">
        <v>28</v>
      </c>
      <c r="N376" s="24" t="s">
        <v>512</v>
      </c>
      <c r="O376" s="24" t="s">
        <v>513</v>
      </c>
      <c r="P376" s="27"/>
      <c r="Q376" s="27"/>
      <c r="R376" s="31" t="s">
        <v>4317</v>
      </c>
      <c r="S376" s="8" t="s">
        <v>4318</v>
      </c>
      <c r="T376" s="29" t="s">
        <v>4319</v>
      </c>
      <c r="U376" s="24"/>
    </row>
    <row r="377">
      <c r="A377" s="30">
        <v>8.001620015612E12</v>
      </c>
      <c r="B377" s="20" t="s">
        <v>4034</v>
      </c>
      <c r="C377" s="21">
        <v>0.055</v>
      </c>
      <c r="D377" s="21">
        <v>0.205</v>
      </c>
      <c r="E377" s="21">
        <v>0.055</v>
      </c>
      <c r="F377" s="22">
        <v>5.0</v>
      </c>
      <c r="G377" s="23"/>
      <c r="H377" s="24" t="s">
        <v>4027</v>
      </c>
      <c r="I377" s="21" t="s">
        <v>4028</v>
      </c>
      <c r="J377" s="24" t="s">
        <v>4035</v>
      </c>
      <c r="K377" s="21" t="s">
        <v>4036</v>
      </c>
      <c r="L377" s="25" t="s">
        <v>4037</v>
      </c>
      <c r="M377" s="26" t="s">
        <v>37</v>
      </c>
      <c r="N377" s="24" t="s">
        <v>1555</v>
      </c>
      <c r="O377" s="24" t="s">
        <v>1556</v>
      </c>
      <c r="P377" s="27"/>
      <c r="Q377" s="27"/>
      <c r="R377" s="28" t="s">
        <v>4038</v>
      </c>
      <c r="S377" s="8" t="s">
        <v>4039</v>
      </c>
      <c r="T377" s="29" t="e">
        <v>#N/A</v>
      </c>
      <c r="U377" s="24"/>
    </row>
    <row r="378">
      <c r="A378" s="30">
        <v>8.001620015636E12</v>
      </c>
      <c r="B378" s="20" t="s">
        <v>4026</v>
      </c>
      <c r="C378" s="21">
        <v>0.055</v>
      </c>
      <c r="D378" s="21">
        <v>0.205</v>
      </c>
      <c r="E378" s="21">
        <v>0.055</v>
      </c>
      <c r="F378" s="22">
        <v>5.0</v>
      </c>
      <c r="G378" s="23"/>
      <c r="H378" s="24" t="s">
        <v>4027</v>
      </c>
      <c r="I378" s="21" t="s">
        <v>4028</v>
      </c>
      <c r="J378" s="24" t="s">
        <v>4029</v>
      </c>
      <c r="K378" s="21" t="s">
        <v>4030</v>
      </c>
      <c r="L378" s="25" t="s">
        <v>4031</v>
      </c>
      <c r="M378" s="26" t="s">
        <v>37</v>
      </c>
      <c r="N378" s="24" t="s">
        <v>1555</v>
      </c>
      <c r="O378" s="24" t="s">
        <v>1556</v>
      </c>
      <c r="P378" s="27"/>
      <c r="Q378" s="27"/>
      <c r="R378" s="28" t="s">
        <v>4032</v>
      </c>
      <c r="S378" s="8" t="s">
        <v>4033</v>
      </c>
      <c r="T378" s="29" t="e">
        <v>#N/A</v>
      </c>
      <c r="U378" s="24"/>
    </row>
    <row r="379">
      <c r="A379" s="30">
        <v>8.002270846472E12</v>
      </c>
      <c r="B379" s="20" t="s">
        <v>4047</v>
      </c>
      <c r="C379" s="21">
        <v>0.062</v>
      </c>
      <c r="D379" s="21">
        <v>0.23</v>
      </c>
      <c r="E379" s="21">
        <v>0.062</v>
      </c>
      <c r="F379" s="22">
        <v>5.0</v>
      </c>
      <c r="G379" s="23"/>
      <c r="H379" s="24" t="s">
        <v>4048</v>
      </c>
      <c r="I379" s="21" t="s">
        <v>4049</v>
      </c>
      <c r="J379" s="24" t="s">
        <v>4050</v>
      </c>
      <c r="K379" s="21" t="s">
        <v>4051</v>
      </c>
      <c r="L379" s="25" t="s">
        <v>4052</v>
      </c>
      <c r="M379" s="26" t="s">
        <v>28</v>
      </c>
      <c r="N379" s="24" t="s">
        <v>1385</v>
      </c>
      <c r="O379" s="24" t="s">
        <v>1386</v>
      </c>
      <c r="P379" s="27"/>
      <c r="Q379" s="27"/>
      <c r="R379" s="28" t="s">
        <v>4053</v>
      </c>
      <c r="S379" s="8" t="s">
        <v>4054</v>
      </c>
      <c r="T379" s="29" t="s">
        <v>4055</v>
      </c>
      <c r="U379" s="24"/>
    </row>
    <row r="380">
      <c r="A380" s="30">
        <v>7.7975099919E10</v>
      </c>
      <c r="B380" s="20" t="s">
        <v>4354</v>
      </c>
      <c r="C380" s="21">
        <v>0.09999999</v>
      </c>
      <c r="D380" s="21">
        <v>0.155</v>
      </c>
      <c r="E380" s="21">
        <v>0.02</v>
      </c>
      <c r="F380" s="22">
        <v>15.0</v>
      </c>
      <c r="G380" s="23"/>
      <c r="H380" s="24" t="s">
        <v>4338</v>
      </c>
      <c r="I380" s="21" t="s">
        <v>4339</v>
      </c>
      <c r="J380" s="24" t="s">
        <v>4355</v>
      </c>
      <c r="K380" s="21" t="s">
        <v>4356</v>
      </c>
      <c r="L380" s="25" t="s">
        <v>4357</v>
      </c>
      <c r="M380" s="26" t="s">
        <v>28</v>
      </c>
      <c r="N380" s="24" t="s">
        <v>1413</v>
      </c>
      <c r="O380" s="24" t="s">
        <v>3563</v>
      </c>
      <c r="P380" s="27"/>
      <c r="Q380" s="27"/>
      <c r="R380" s="28" t="s">
        <v>4358</v>
      </c>
      <c r="S380" s="8" t="s">
        <v>4357</v>
      </c>
      <c r="T380" s="29" t="s">
        <v>4339</v>
      </c>
      <c r="U380" s="21" t="s">
        <v>32</v>
      </c>
    </row>
    <row r="381">
      <c r="A381" s="30">
        <v>7.7975099933E10</v>
      </c>
      <c r="B381" s="20" t="s">
        <v>4337</v>
      </c>
      <c r="C381" s="21">
        <v>0.09999999</v>
      </c>
      <c r="D381" s="21">
        <v>0.155</v>
      </c>
      <c r="E381" s="21">
        <v>0.02</v>
      </c>
      <c r="F381" s="22">
        <v>15.0</v>
      </c>
      <c r="G381" s="23"/>
      <c r="H381" s="24" t="s">
        <v>4338</v>
      </c>
      <c r="I381" s="21" t="s">
        <v>4339</v>
      </c>
      <c r="J381" s="24" t="s">
        <v>4340</v>
      </c>
      <c r="K381" s="21" t="s">
        <v>4341</v>
      </c>
      <c r="L381" s="25" t="s">
        <v>4342</v>
      </c>
      <c r="M381" s="26" t="s">
        <v>28</v>
      </c>
      <c r="N381" s="24" t="s">
        <v>1413</v>
      </c>
      <c r="O381" s="24" t="s">
        <v>3563</v>
      </c>
      <c r="P381" s="27"/>
      <c r="Q381" s="27"/>
      <c r="R381" s="28" t="s">
        <v>4343</v>
      </c>
      <c r="S381" s="8" t="s">
        <v>4342</v>
      </c>
      <c r="T381" s="29" t="s">
        <v>4339</v>
      </c>
      <c r="U381" s="21" t="s">
        <v>32</v>
      </c>
    </row>
    <row r="382">
      <c r="A382" s="30">
        <v>7.7975088227E10</v>
      </c>
      <c r="B382" s="20" t="s">
        <v>4364</v>
      </c>
      <c r="C382" s="21">
        <v>0.14</v>
      </c>
      <c r="D382" s="21">
        <v>0.26</v>
      </c>
      <c r="E382" s="21">
        <v>0.035</v>
      </c>
      <c r="F382" s="22">
        <v>9.0</v>
      </c>
      <c r="G382" s="23"/>
      <c r="H382" s="24" t="s">
        <v>4338</v>
      </c>
      <c r="I382" s="21" t="s">
        <v>4339</v>
      </c>
      <c r="J382" s="24" t="s">
        <v>4365</v>
      </c>
      <c r="K382" s="21" t="s">
        <v>4366</v>
      </c>
      <c r="L382" s="25" t="s">
        <v>4367</v>
      </c>
      <c r="M382" s="26" t="s">
        <v>28</v>
      </c>
      <c r="N382" s="24" t="s">
        <v>1413</v>
      </c>
      <c r="O382" s="24" t="s">
        <v>3570</v>
      </c>
      <c r="P382" s="27"/>
      <c r="Q382" s="27"/>
      <c r="R382" s="28" t="s">
        <v>4368</v>
      </c>
      <c r="S382" s="8" t="s">
        <v>4367</v>
      </c>
      <c r="T382" s="29" t="s">
        <v>4339</v>
      </c>
      <c r="U382" s="21" t="s">
        <v>32</v>
      </c>
    </row>
    <row r="383">
      <c r="A383" s="30">
        <v>7.7975094761E10</v>
      </c>
      <c r="B383" s="20" t="s">
        <v>4374</v>
      </c>
      <c r="C383" s="21">
        <v>0.15</v>
      </c>
      <c r="D383" s="21">
        <v>0.255</v>
      </c>
      <c r="E383" s="21">
        <v>0.07</v>
      </c>
      <c r="F383" s="22">
        <v>4.0</v>
      </c>
      <c r="G383" s="23"/>
      <c r="H383" s="24" t="s">
        <v>4338</v>
      </c>
      <c r="I383" s="21" t="s">
        <v>4339</v>
      </c>
      <c r="J383" s="24" t="s">
        <v>4375</v>
      </c>
      <c r="K383" s="21" t="s">
        <v>4376</v>
      </c>
      <c r="L383" s="25" t="s">
        <v>4377</v>
      </c>
      <c r="M383" s="26" t="s">
        <v>37</v>
      </c>
      <c r="N383" s="24" t="s">
        <v>1413</v>
      </c>
      <c r="O383" s="24" t="s">
        <v>3570</v>
      </c>
      <c r="P383" s="27"/>
      <c r="Q383" s="27"/>
      <c r="R383" s="28" t="s">
        <v>4378</v>
      </c>
      <c r="S383" s="8" t="s">
        <v>4379</v>
      </c>
      <c r="T383" s="29" t="e">
        <v>#N/A</v>
      </c>
      <c r="U383" s="21" t="s">
        <v>32</v>
      </c>
    </row>
    <row r="384">
      <c r="A384" s="30">
        <v>7.7975094006E10</v>
      </c>
      <c r="B384" s="20" t="s">
        <v>4344</v>
      </c>
      <c r="C384" s="21">
        <v>0.15</v>
      </c>
      <c r="D384" s="21">
        <v>0.26</v>
      </c>
      <c r="E384" s="21">
        <v>0.035</v>
      </c>
      <c r="F384" s="22">
        <v>9.0</v>
      </c>
      <c r="G384" s="23"/>
      <c r="H384" s="24" t="s">
        <v>4338</v>
      </c>
      <c r="I384" s="21" t="s">
        <v>4339</v>
      </c>
      <c r="J384" s="24" t="s">
        <v>4345</v>
      </c>
      <c r="K384" s="21" t="s">
        <v>4346</v>
      </c>
      <c r="L384" s="25" t="s">
        <v>4347</v>
      </c>
      <c r="M384" s="26" t="s">
        <v>28</v>
      </c>
      <c r="N384" s="24" t="s">
        <v>1413</v>
      </c>
      <c r="O384" s="24" t="s">
        <v>3570</v>
      </c>
      <c r="P384" s="27"/>
      <c r="Q384" s="27"/>
      <c r="R384" s="28" t="s">
        <v>4348</v>
      </c>
      <c r="S384" s="8" t="s">
        <v>4347</v>
      </c>
      <c r="T384" s="29" t="s">
        <v>4339</v>
      </c>
      <c r="U384" s="21" t="s">
        <v>32</v>
      </c>
    </row>
    <row r="385">
      <c r="A385" s="30">
        <v>7.7975094624E10</v>
      </c>
      <c r="B385" s="20" t="s">
        <v>4359</v>
      </c>
      <c r="C385" s="21">
        <v>0.14</v>
      </c>
      <c r="D385" s="21">
        <v>0.255</v>
      </c>
      <c r="E385" s="21">
        <v>0.07</v>
      </c>
      <c r="F385" s="22">
        <v>4.0</v>
      </c>
      <c r="G385" s="23"/>
      <c r="H385" s="24" t="s">
        <v>4338</v>
      </c>
      <c r="I385" s="21" t="s">
        <v>4339</v>
      </c>
      <c r="J385" s="24" t="s">
        <v>4360</v>
      </c>
      <c r="K385" s="21" t="s">
        <v>4361</v>
      </c>
      <c r="L385" s="25" t="s">
        <v>4362</v>
      </c>
      <c r="M385" s="26" t="s">
        <v>28</v>
      </c>
      <c r="N385" s="24" t="s">
        <v>1413</v>
      </c>
      <c r="O385" s="24" t="s">
        <v>3570</v>
      </c>
      <c r="P385" s="27"/>
      <c r="Q385" s="27"/>
      <c r="R385" s="28" t="s">
        <v>4363</v>
      </c>
      <c r="S385" s="8" t="s">
        <v>4362</v>
      </c>
      <c r="T385" s="29" t="s">
        <v>4339</v>
      </c>
      <c r="U385" s="21" t="s">
        <v>32</v>
      </c>
    </row>
    <row r="386">
      <c r="A386" s="30">
        <v>7.7975094631E10</v>
      </c>
      <c r="B386" s="20" t="s">
        <v>4349</v>
      </c>
      <c r="C386" s="21">
        <v>0.14</v>
      </c>
      <c r="D386" s="21">
        <v>0.255</v>
      </c>
      <c r="E386" s="21">
        <v>0.07</v>
      </c>
      <c r="F386" s="22">
        <v>4.0</v>
      </c>
      <c r="G386" s="23"/>
      <c r="H386" s="24" t="s">
        <v>4338</v>
      </c>
      <c r="I386" s="21" t="s">
        <v>4339</v>
      </c>
      <c r="J386" s="24" t="s">
        <v>4350</v>
      </c>
      <c r="K386" s="21" t="s">
        <v>4351</v>
      </c>
      <c r="L386" s="25" t="s">
        <v>4352</v>
      </c>
      <c r="M386" s="26" t="s">
        <v>28</v>
      </c>
      <c r="N386" s="24" t="s">
        <v>1413</v>
      </c>
      <c r="O386" s="24" t="s">
        <v>1414</v>
      </c>
      <c r="P386" s="27"/>
      <c r="Q386" s="27"/>
      <c r="R386" s="28" t="s">
        <v>4353</v>
      </c>
      <c r="S386" s="8" t="s">
        <v>4352</v>
      </c>
      <c r="T386" s="29" t="s">
        <v>4339</v>
      </c>
      <c r="U386" s="21" t="s">
        <v>32</v>
      </c>
    </row>
    <row r="387">
      <c r="A387" s="30">
        <v>7.7975091975E10</v>
      </c>
      <c r="B387" s="20" t="s">
        <v>4369</v>
      </c>
      <c r="C387" s="21">
        <v>0.14</v>
      </c>
      <c r="D387" s="21">
        <v>0.26</v>
      </c>
      <c r="E387" s="21">
        <v>0.035</v>
      </c>
      <c r="F387" s="22">
        <v>9.0</v>
      </c>
      <c r="G387" s="23"/>
      <c r="H387" s="24" t="s">
        <v>4338</v>
      </c>
      <c r="I387" s="21" t="s">
        <v>4339</v>
      </c>
      <c r="J387" s="24" t="s">
        <v>4370</v>
      </c>
      <c r="K387" s="21" t="s">
        <v>4371</v>
      </c>
      <c r="L387" s="25" t="s">
        <v>4372</v>
      </c>
      <c r="M387" s="26" t="s">
        <v>28</v>
      </c>
      <c r="N387" s="24" t="s">
        <v>1413</v>
      </c>
      <c r="O387" s="24" t="s">
        <v>1414</v>
      </c>
      <c r="P387" s="27"/>
      <c r="Q387" s="27"/>
      <c r="R387" s="28" t="s">
        <v>4373</v>
      </c>
      <c r="S387" s="33" t="s">
        <v>4372</v>
      </c>
      <c r="T387" s="29" t="s">
        <v>4339</v>
      </c>
      <c r="U387" s="21" t="s">
        <v>32</v>
      </c>
    </row>
    <row r="388">
      <c r="A388" s="30">
        <v>5.000159473866E12</v>
      </c>
      <c r="B388" s="20" t="s">
        <v>5210</v>
      </c>
      <c r="C388" s="21">
        <v>0.2</v>
      </c>
      <c r="D388" s="21">
        <v>0.18</v>
      </c>
      <c r="E388" s="21">
        <v>0.02</v>
      </c>
      <c r="F388" s="22">
        <v>15.0</v>
      </c>
      <c r="G388" s="23"/>
      <c r="H388" s="24" t="s">
        <v>4321</v>
      </c>
      <c r="I388" s="21" t="s">
        <v>4322</v>
      </c>
      <c r="J388" s="24" t="s">
        <v>4331</v>
      </c>
      <c r="K388" s="21" t="s">
        <v>4332</v>
      </c>
      <c r="L388" s="25" t="s">
        <v>4333</v>
      </c>
      <c r="M388" s="26" t="s">
        <v>28</v>
      </c>
      <c r="N388" s="24" t="s">
        <v>501</v>
      </c>
      <c r="O388" s="24" t="s">
        <v>3013</v>
      </c>
      <c r="P388" s="27"/>
      <c r="Q388" s="27"/>
      <c r="R388" s="31" t="s">
        <v>4334</v>
      </c>
      <c r="S388" s="33" t="s">
        <v>4335</v>
      </c>
      <c r="T388" s="29" t="s">
        <v>4336</v>
      </c>
      <c r="U388" s="24"/>
    </row>
    <row r="389">
      <c r="A389" s="30">
        <v>5.000159461122E12</v>
      </c>
      <c r="B389" s="20" t="s">
        <v>4320</v>
      </c>
      <c r="C389" s="21">
        <v>0.118</v>
      </c>
      <c r="D389" s="21">
        <v>0.03</v>
      </c>
      <c r="E389" s="21">
        <v>0.02</v>
      </c>
      <c r="F389" s="22">
        <v>15.0</v>
      </c>
      <c r="G389" s="23"/>
      <c r="H389" s="24" t="s">
        <v>4321</v>
      </c>
      <c r="I389" s="21" t="s">
        <v>4322</v>
      </c>
      <c r="J389" s="24" t="s">
        <v>4323</v>
      </c>
      <c r="K389" s="21" t="s">
        <v>4324</v>
      </c>
      <c r="L389" s="25" t="s">
        <v>4325</v>
      </c>
      <c r="M389" s="26" t="s">
        <v>28</v>
      </c>
      <c r="N389" s="24" t="s">
        <v>501</v>
      </c>
      <c r="O389" s="24" t="s">
        <v>502</v>
      </c>
      <c r="P389" s="27"/>
      <c r="Q389" s="27"/>
      <c r="R389" s="31" t="s">
        <v>4326</v>
      </c>
      <c r="S389" s="33" t="s">
        <v>4327</v>
      </c>
      <c r="T389" s="29" t="s">
        <v>4322</v>
      </c>
      <c r="U389" s="24"/>
    </row>
    <row r="390">
      <c r="A390" s="30">
        <v>7.290112344007E12</v>
      </c>
      <c r="B390" s="20" t="s">
        <v>4412</v>
      </c>
      <c r="C390" s="21">
        <v>0.09999999</v>
      </c>
      <c r="D390" s="21">
        <v>0.15</v>
      </c>
      <c r="E390" s="21">
        <v>0.05</v>
      </c>
      <c r="F390" s="22">
        <v>6.0</v>
      </c>
      <c r="G390" s="23"/>
      <c r="H390" s="24" t="s">
        <v>4398</v>
      </c>
      <c r="I390" s="21" t="s">
        <v>4399</v>
      </c>
      <c r="J390" s="24" t="s">
        <v>4413</v>
      </c>
      <c r="K390" s="21" t="s">
        <v>4414</v>
      </c>
      <c r="L390" s="25" t="s">
        <v>4415</v>
      </c>
      <c r="M390" s="26" t="s">
        <v>28</v>
      </c>
      <c r="N390" s="24" t="s">
        <v>501</v>
      </c>
      <c r="O390" s="24" t="s">
        <v>729</v>
      </c>
      <c r="P390" s="27"/>
      <c r="Q390" s="27"/>
      <c r="R390" s="28" t="s">
        <v>4416</v>
      </c>
      <c r="S390" s="8" t="s">
        <v>4417</v>
      </c>
      <c r="T390" s="29" t="s">
        <v>4411</v>
      </c>
      <c r="U390" s="24"/>
    </row>
    <row r="391">
      <c r="A391" s="30">
        <v>7.290112344793E12</v>
      </c>
      <c r="B391" s="20" t="s">
        <v>4405</v>
      </c>
      <c r="C391" s="21">
        <v>0.09999999</v>
      </c>
      <c r="D391" s="21">
        <v>0.15</v>
      </c>
      <c r="E391" s="21">
        <v>0.05</v>
      </c>
      <c r="F391" s="22">
        <v>6.0</v>
      </c>
      <c r="G391" s="23"/>
      <c r="H391" s="24" t="s">
        <v>4398</v>
      </c>
      <c r="I391" s="21" t="s">
        <v>4399</v>
      </c>
      <c r="J391" s="24" t="s">
        <v>4406</v>
      </c>
      <c r="K391" s="21" t="s">
        <v>4407</v>
      </c>
      <c r="L391" s="25" t="s">
        <v>4408</v>
      </c>
      <c r="M391" s="26" t="s">
        <v>28</v>
      </c>
      <c r="N391" s="24" t="s">
        <v>501</v>
      </c>
      <c r="O391" s="24" t="s">
        <v>729</v>
      </c>
      <c r="P391" s="27"/>
      <c r="Q391" s="27"/>
      <c r="R391" s="28" t="s">
        <v>4409</v>
      </c>
      <c r="S391" s="8" t="s">
        <v>4410</v>
      </c>
      <c r="T391" s="29" t="s">
        <v>4411</v>
      </c>
      <c r="U391" s="24"/>
    </row>
    <row r="392">
      <c r="A392" s="30">
        <v>7.290105961525E12</v>
      </c>
      <c r="B392" s="20" t="s">
        <v>4397</v>
      </c>
      <c r="C392" s="21">
        <v>0.09</v>
      </c>
      <c r="D392" s="21">
        <v>0.18</v>
      </c>
      <c r="E392" s="21">
        <v>0.01</v>
      </c>
      <c r="F392" s="22">
        <v>30.0</v>
      </c>
      <c r="G392" s="23"/>
      <c r="H392" s="24" t="s">
        <v>4398</v>
      </c>
      <c r="I392" s="21" t="s">
        <v>4399</v>
      </c>
      <c r="J392" s="24" t="s">
        <v>4400</v>
      </c>
      <c r="K392" s="21" t="s">
        <v>4401</v>
      </c>
      <c r="L392" s="25" t="s">
        <v>4402</v>
      </c>
      <c r="M392" s="26" t="s">
        <v>28</v>
      </c>
      <c r="N392" s="24" t="s">
        <v>1484</v>
      </c>
      <c r="O392" s="24" t="s">
        <v>1485</v>
      </c>
      <c r="P392" s="27"/>
      <c r="Q392" s="27"/>
      <c r="R392" s="28" t="s">
        <v>4403</v>
      </c>
      <c r="S392" s="8" t="s">
        <v>4404</v>
      </c>
      <c r="T392" s="29" t="s">
        <v>4399</v>
      </c>
      <c r="U392" s="24"/>
    </row>
    <row r="393">
      <c r="A393" s="30">
        <v>7.290013585257E12</v>
      </c>
      <c r="B393" s="20" t="s">
        <v>4472</v>
      </c>
      <c r="C393" s="21">
        <v>0.065</v>
      </c>
      <c r="D393" s="21">
        <v>0.24</v>
      </c>
      <c r="E393" s="21">
        <v>0.065</v>
      </c>
      <c r="F393" s="22">
        <v>5.0</v>
      </c>
      <c r="G393" s="23"/>
      <c r="H393" s="24" t="s">
        <v>4445</v>
      </c>
      <c r="I393" s="21" t="s">
        <v>4446</v>
      </c>
      <c r="J393" s="24" t="s">
        <v>4473</v>
      </c>
      <c r="K393" s="21" t="s">
        <v>4474</v>
      </c>
      <c r="L393" s="25" t="s">
        <v>4475</v>
      </c>
      <c r="M393" s="26" t="s">
        <v>28</v>
      </c>
      <c r="N393" s="24" t="s">
        <v>4450</v>
      </c>
      <c r="O393" s="24" t="s">
        <v>4476</v>
      </c>
      <c r="P393" s="27"/>
      <c r="Q393" s="27"/>
      <c r="R393" s="28" t="s">
        <v>4477</v>
      </c>
      <c r="S393" s="8" t="s">
        <v>4478</v>
      </c>
      <c r="T393" s="29" t="s">
        <v>4446</v>
      </c>
      <c r="U393" s="24"/>
    </row>
    <row r="394">
      <c r="A394" s="30">
        <v>7.290013585233E12</v>
      </c>
      <c r="B394" s="20" t="s">
        <v>4479</v>
      </c>
      <c r="C394" s="21">
        <v>0.057</v>
      </c>
      <c r="D394" s="21">
        <v>0.14</v>
      </c>
      <c r="E394" s="21">
        <v>0.057</v>
      </c>
      <c r="F394" s="22">
        <v>5.0</v>
      </c>
      <c r="G394" s="23"/>
      <c r="H394" s="24" t="s">
        <v>4445</v>
      </c>
      <c r="I394" s="21" t="s">
        <v>4446</v>
      </c>
      <c r="J394" s="24" t="s">
        <v>4480</v>
      </c>
      <c r="K394" s="21" t="s">
        <v>4481</v>
      </c>
      <c r="L394" s="25" t="s">
        <v>4482</v>
      </c>
      <c r="M394" s="26" t="s">
        <v>28</v>
      </c>
      <c r="N394" s="24" t="s">
        <v>4450</v>
      </c>
      <c r="O394" s="24" t="s">
        <v>4476</v>
      </c>
      <c r="P394" s="27"/>
      <c r="Q394" s="27"/>
      <c r="R394" s="28" t="s">
        <v>4483</v>
      </c>
      <c r="S394" s="8" t="s">
        <v>4484</v>
      </c>
      <c r="T394" s="29" t="s">
        <v>4446</v>
      </c>
      <c r="U394" s="24"/>
    </row>
    <row r="395">
      <c r="A395" s="30">
        <v>7.29001358524E12</v>
      </c>
      <c r="B395" s="20" t="s">
        <v>4444</v>
      </c>
      <c r="C395" s="21">
        <v>0.095</v>
      </c>
      <c r="D395" s="21">
        <v>0.333</v>
      </c>
      <c r="E395" s="21">
        <v>0.095</v>
      </c>
      <c r="F395" s="22">
        <v>3.0</v>
      </c>
      <c r="G395" s="23"/>
      <c r="H395" s="24" t="s">
        <v>4445</v>
      </c>
      <c r="I395" s="21" t="s">
        <v>4446</v>
      </c>
      <c r="J395" s="24" t="s">
        <v>4447</v>
      </c>
      <c r="K395" s="21" t="s">
        <v>4448</v>
      </c>
      <c r="L395" s="25" t="s">
        <v>4449</v>
      </c>
      <c r="M395" s="26" t="s">
        <v>28</v>
      </c>
      <c r="N395" s="24" t="s">
        <v>4450</v>
      </c>
      <c r="O395" s="24" t="s">
        <v>4451</v>
      </c>
      <c r="P395" s="27"/>
      <c r="Q395" s="27"/>
      <c r="R395" s="28" t="s">
        <v>4452</v>
      </c>
      <c r="S395" s="8" t="s">
        <v>4453</v>
      </c>
      <c r="T395" s="29" t="s">
        <v>4446</v>
      </c>
      <c r="U395" s="24"/>
    </row>
    <row r="396">
      <c r="A396" s="30">
        <v>7.290110110635E12</v>
      </c>
      <c r="B396" s="20" t="s">
        <v>4466</v>
      </c>
      <c r="C396" s="21">
        <v>0.065</v>
      </c>
      <c r="D396" s="21">
        <v>0.24</v>
      </c>
      <c r="E396" s="21">
        <v>0.065</v>
      </c>
      <c r="F396" s="22">
        <v>5.0</v>
      </c>
      <c r="G396" s="23"/>
      <c r="H396" s="24" t="s">
        <v>4445</v>
      </c>
      <c r="I396" s="21" t="s">
        <v>4446</v>
      </c>
      <c r="J396" s="24" t="s">
        <v>4467</v>
      </c>
      <c r="K396" s="21" t="s">
        <v>4468</v>
      </c>
      <c r="L396" s="25" t="s">
        <v>4469</v>
      </c>
      <c r="M396" s="26" t="s">
        <v>28</v>
      </c>
      <c r="N396" s="24" t="s">
        <v>4261</v>
      </c>
      <c r="O396" s="24" t="s">
        <v>4270</v>
      </c>
      <c r="P396" s="27"/>
      <c r="Q396" s="27"/>
      <c r="R396" s="28" t="s">
        <v>4470</v>
      </c>
      <c r="S396" s="8" t="s">
        <v>4471</v>
      </c>
      <c r="T396" s="29" t="s">
        <v>4446</v>
      </c>
      <c r="U396" s="24"/>
    </row>
    <row r="397">
      <c r="A397" s="30">
        <v>7.290110110659E12</v>
      </c>
      <c r="B397" s="20" t="s">
        <v>4454</v>
      </c>
      <c r="C397" s="21">
        <v>0.057</v>
      </c>
      <c r="D397" s="21">
        <v>0.14</v>
      </c>
      <c r="E397" s="21">
        <v>0.057</v>
      </c>
      <c r="F397" s="22">
        <v>5.0</v>
      </c>
      <c r="G397" s="23"/>
      <c r="H397" s="24" t="s">
        <v>4445</v>
      </c>
      <c r="I397" s="21" t="s">
        <v>4446</v>
      </c>
      <c r="J397" s="24" t="s">
        <v>4455</v>
      </c>
      <c r="K397" s="21" t="s">
        <v>4456</v>
      </c>
      <c r="L397" s="25" t="s">
        <v>4457</v>
      </c>
      <c r="M397" s="26" t="s">
        <v>28</v>
      </c>
      <c r="N397" s="24" t="s">
        <v>4261</v>
      </c>
      <c r="O397" s="24" t="s">
        <v>4270</v>
      </c>
      <c r="P397" s="27"/>
      <c r="Q397" s="27"/>
      <c r="R397" s="28" t="s">
        <v>4458</v>
      </c>
      <c r="S397" s="8" t="s">
        <v>4459</v>
      </c>
      <c r="T397" s="29" t="s">
        <v>4446</v>
      </c>
      <c r="U397" s="24"/>
    </row>
    <row r="398">
      <c r="A398" s="30">
        <v>7.290110110611E12</v>
      </c>
      <c r="B398" s="20" t="s">
        <v>4460</v>
      </c>
      <c r="C398" s="21">
        <v>0.095</v>
      </c>
      <c r="D398" s="21">
        <v>0.333</v>
      </c>
      <c r="E398" s="21">
        <v>0.095</v>
      </c>
      <c r="F398" s="22">
        <v>3.0</v>
      </c>
      <c r="G398" s="23"/>
      <c r="H398" s="24" t="s">
        <v>4445</v>
      </c>
      <c r="I398" s="21" t="s">
        <v>4446</v>
      </c>
      <c r="J398" s="24" t="s">
        <v>4461</v>
      </c>
      <c r="K398" s="21" t="s">
        <v>4462</v>
      </c>
      <c r="L398" s="25" t="s">
        <v>4463</v>
      </c>
      <c r="M398" s="26" t="s">
        <v>28</v>
      </c>
      <c r="N398" s="24" t="s">
        <v>4261</v>
      </c>
      <c r="O398" s="24" t="s">
        <v>4262</v>
      </c>
      <c r="P398" s="27"/>
      <c r="Q398" s="27"/>
      <c r="R398" s="31" t="s">
        <v>4464</v>
      </c>
      <c r="S398" s="8" t="s">
        <v>4465</v>
      </c>
      <c r="T398" s="29" t="s">
        <v>4446</v>
      </c>
      <c r="U398" s="24"/>
    </row>
    <row r="399">
      <c r="A399" s="30">
        <v>7.290005564253E12</v>
      </c>
      <c r="B399" s="20" t="s">
        <v>4426</v>
      </c>
      <c r="C399" s="21">
        <v>0.09</v>
      </c>
      <c r="D399" s="21">
        <v>0.316</v>
      </c>
      <c r="E399" s="21">
        <v>0.09</v>
      </c>
      <c r="F399" s="22">
        <v>3.0</v>
      </c>
      <c r="G399" s="23"/>
      <c r="H399" s="24" t="s">
        <v>4419</v>
      </c>
      <c r="I399" s="21" t="s">
        <v>4420</v>
      </c>
      <c r="J399" s="24" t="s">
        <v>4427</v>
      </c>
      <c r="K399" s="21" t="s">
        <v>4428</v>
      </c>
      <c r="L399" s="25" t="s">
        <v>4429</v>
      </c>
      <c r="M399" s="26" t="s">
        <v>37</v>
      </c>
      <c r="N399" s="24" t="s">
        <v>718</v>
      </c>
      <c r="O399" s="24" t="s">
        <v>1526</v>
      </c>
      <c r="P399" s="27"/>
      <c r="Q399" s="27"/>
      <c r="R399" s="31" t="s">
        <v>4430</v>
      </c>
      <c r="S399" s="33" t="s">
        <v>4431</v>
      </c>
      <c r="T399" s="29" t="e">
        <v>#N/A</v>
      </c>
      <c r="U399" s="24"/>
    </row>
    <row r="400">
      <c r="A400" s="30">
        <v>7.290003608089E12</v>
      </c>
      <c r="B400" s="20" t="s">
        <v>4438</v>
      </c>
      <c r="C400" s="21">
        <v>0.09</v>
      </c>
      <c r="D400" s="21">
        <v>0.316</v>
      </c>
      <c r="E400" s="21">
        <v>0.09</v>
      </c>
      <c r="F400" s="22">
        <v>3.0</v>
      </c>
      <c r="G400" s="23"/>
      <c r="H400" s="24" t="s">
        <v>4419</v>
      </c>
      <c r="I400" s="21" t="s">
        <v>4420</v>
      </c>
      <c r="J400" s="24" t="s">
        <v>4439</v>
      </c>
      <c r="K400" s="21" t="s">
        <v>4440</v>
      </c>
      <c r="L400" s="25" t="s">
        <v>4441</v>
      </c>
      <c r="M400" s="26" t="s">
        <v>37</v>
      </c>
      <c r="N400" s="24" t="s">
        <v>718</v>
      </c>
      <c r="O400" s="24" t="s">
        <v>1526</v>
      </c>
      <c r="P400" s="27"/>
      <c r="Q400" s="27"/>
      <c r="R400" s="31" t="s">
        <v>4442</v>
      </c>
      <c r="S400" s="33" t="s">
        <v>4443</v>
      </c>
      <c r="T400" s="29" t="e">
        <v>#N/A</v>
      </c>
      <c r="U400" s="24"/>
    </row>
    <row r="401">
      <c r="A401" s="30">
        <v>7.290016006773E12</v>
      </c>
      <c r="B401" s="20" t="s">
        <v>4418</v>
      </c>
      <c r="C401" s="21">
        <v>0.065</v>
      </c>
      <c r="D401" s="21">
        <v>0.172</v>
      </c>
      <c r="E401" s="21">
        <v>0.065</v>
      </c>
      <c r="F401" s="22">
        <v>5.0</v>
      </c>
      <c r="G401" s="23"/>
      <c r="H401" s="24" t="s">
        <v>4419</v>
      </c>
      <c r="I401" s="21" t="s">
        <v>4420</v>
      </c>
      <c r="J401" s="24" t="s">
        <v>4421</v>
      </c>
      <c r="K401" s="21" t="s">
        <v>4422</v>
      </c>
      <c r="L401" s="25" t="s">
        <v>4423</v>
      </c>
      <c r="M401" s="26" t="s">
        <v>28</v>
      </c>
      <c r="N401" s="24" t="s">
        <v>1555</v>
      </c>
      <c r="O401" s="24" t="s">
        <v>1556</v>
      </c>
      <c r="P401" s="27"/>
      <c r="Q401" s="27"/>
      <c r="R401" s="28" t="s">
        <v>4424</v>
      </c>
      <c r="S401" s="8" t="s">
        <v>4425</v>
      </c>
      <c r="T401" s="29" t="s">
        <v>4420</v>
      </c>
      <c r="U401" s="24"/>
    </row>
    <row r="402">
      <c r="A402" s="30">
        <v>7.290016006759E12</v>
      </c>
      <c r="B402" s="20" t="s">
        <v>4432</v>
      </c>
      <c r="C402" s="21">
        <v>0.065</v>
      </c>
      <c r="D402" s="21">
        <v>0.172</v>
      </c>
      <c r="E402" s="21">
        <v>0.065</v>
      </c>
      <c r="F402" s="22">
        <v>5.0</v>
      </c>
      <c r="G402" s="23"/>
      <c r="H402" s="24" t="s">
        <v>4419</v>
      </c>
      <c r="I402" s="21" t="s">
        <v>4420</v>
      </c>
      <c r="J402" s="24" t="s">
        <v>4433</v>
      </c>
      <c r="K402" s="21" t="s">
        <v>4434</v>
      </c>
      <c r="L402" s="25" t="s">
        <v>4435</v>
      </c>
      <c r="M402" s="26" t="s">
        <v>28</v>
      </c>
      <c r="N402" s="24" t="s">
        <v>1555</v>
      </c>
      <c r="O402" s="24" t="s">
        <v>1556</v>
      </c>
      <c r="P402" s="27"/>
      <c r="Q402" s="27"/>
      <c r="R402" s="28" t="s">
        <v>4436</v>
      </c>
      <c r="S402" s="8" t="s">
        <v>4437</v>
      </c>
      <c r="T402" s="29" t="s">
        <v>4420</v>
      </c>
      <c r="U402" s="24"/>
    </row>
    <row r="403">
      <c r="A403" s="30">
        <v>2824640.0</v>
      </c>
      <c r="B403" s="20" t="s">
        <v>4273</v>
      </c>
      <c r="C403" s="21">
        <v>0.095</v>
      </c>
      <c r="D403" s="21">
        <v>0.07</v>
      </c>
      <c r="E403" s="21">
        <v>0.09</v>
      </c>
      <c r="F403" s="22">
        <v>3.0</v>
      </c>
      <c r="G403" s="23"/>
      <c r="H403" s="24" t="s">
        <v>4274</v>
      </c>
      <c r="I403" s="21" t="s">
        <v>4275</v>
      </c>
      <c r="J403" s="24" t="s">
        <v>4276</v>
      </c>
      <c r="K403" s="21" t="s">
        <v>4277</v>
      </c>
      <c r="L403" s="25" t="s">
        <v>4278</v>
      </c>
      <c r="M403" s="26" t="s">
        <v>28</v>
      </c>
      <c r="N403" s="24" t="s">
        <v>4279</v>
      </c>
      <c r="O403" s="24" t="s">
        <v>4280</v>
      </c>
      <c r="P403" s="27"/>
      <c r="Q403" s="27"/>
      <c r="R403" s="28" t="s">
        <v>4281</v>
      </c>
      <c r="S403" s="8" t="s">
        <v>4282</v>
      </c>
      <c r="T403" s="29" t="s">
        <v>4283</v>
      </c>
      <c r="U403" s="24"/>
    </row>
    <row r="404">
      <c r="A404" s="30">
        <v>5.000159376792E12</v>
      </c>
      <c r="B404" s="20" t="s">
        <v>4292</v>
      </c>
      <c r="C404" s="21">
        <v>0.07</v>
      </c>
      <c r="D404" s="21">
        <v>0.122</v>
      </c>
      <c r="E404" s="21">
        <v>0.005</v>
      </c>
      <c r="F404" s="22">
        <v>60.0</v>
      </c>
      <c r="G404" s="23"/>
      <c r="H404" s="24" t="s">
        <v>4285</v>
      </c>
      <c r="I404" s="21" t="s">
        <v>4286</v>
      </c>
      <c r="J404" s="24" t="s">
        <v>4293</v>
      </c>
      <c r="K404" s="21" t="s">
        <v>4294</v>
      </c>
      <c r="L404" s="25" t="s">
        <v>4295</v>
      </c>
      <c r="M404" s="26" t="s">
        <v>28</v>
      </c>
      <c r="N404" s="24" t="s">
        <v>2625</v>
      </c>
      <c r="O404" s="24" t="s">
        <v>2626</v>
      </c>
      <c r="P404" s="27"/>
      <c r="Q404" s="27"/>
      <c r="R404" s="28" t="s">
        <v>4296</v>
      </c>
      <c r="S404" s="8" t="s">
        <v>4297</v>
      </c>
      <c r="T404" s="29" t="s">
        <v>4286</v>
      </c>
      <c r="U404" s="24"/>
    </row>
    <row r="405">
      <c r="A405" s="30">
        <v>5.000159376655E12</v>
      </c>
      <c r="B405" s="20" t="s">
        <v>4284</v>
      </c>
      <c r="C405" s="21">
        <v>0.07</v>
      </c>
      <c r="D405" s="21">
        <v>0.122</v>
      </c>
      <c r="E405" s="21">
        <v>0.005</v>
      </c>
      <c r="F405" s="22">
        <v>60.0</v>
      </c>
      <c r="G405" s="23"/>
      <c r="H405" s="24" t="s">
        <v>4285</v>
      </c>
      <c r="I405" s="21" t="s">
        <v>4286</v>
      </c>
      <c r="J405" s="24" t="s">
        <v>4287</v>
      </c>
      <c r="K405" s="21" t="s">
        <v>4288</v>
      </c>
      <c r="L405" s="25" t="s">
        <v>4289</v>
      </c>
      <c r="M405" s="26" t="s">
        <v>28</v>
      </c>
      <c r="N405" s="24" t="s">
        <v>2625</v>
      </c>
      <c r="O405" s="24" t="s">
        <v>2626</v>
      </c>
      <c r="P405" s="27"/>
      <c r="Q405" s="27"/>
      <c r="R405" s="28" t="s">
        <v>4290</v>
      </c>
      <c r="S405" s="8" t="s">
        <v>4291</v>
      </c>
      <c r="T405" s="29" t="s">
        <v>4286</v>
      </c>
      <c r="U405" s="24"/>
    </row>
    <row r="406">
      <c r="A406" s="30">
        <v>8.56591000062E11</v>
      </c>
      <c r="B406" s="20" t="s">
        <v>22</v>
      </c>
      <c r="C406" s="21">
        <v>0.15</v>
      </c>
      <c r="D406" s="21">
        <v>0.27</v>
      </c>
      <c r="E406" s="21">
        <v>0.05</v>
      </c>
      <c r="F406" s="22">
        <v>6.0</v>
      </c>
      <c r="G406" s="23"/>
      <c r="H406" s="24" t="s">
        <v>23</v>
      </c>
      <c r="I406" s="21" t="s">
        <v>24</v>
      </c>
      <c r="J406" s="24" t="s">
        <v>25</v>
      </c>
      <c r="K406" s="21" t="s">
        <v>26</v>
      </c>
      <c r="L406" s="25" t="s">
        <v>27</v>
      </c>
      <c r="M406" s="26" t="s">
        <v>28</v>
      </c>
      <c r="N406" s="24" t="s">
        <v>29</v>
      </c>
      <c r="O406" s="24" t="s">
        <v>30</v>
      </c>
      <c r="P406" s="27"/>
      <c r="Q406" s="27"/>
      <c r="R406" s="31" t="s">
        <v>31</v>
      </c>
      <c r="S406" s="8" t="s">
        <v>27</v>
      </c>
      <c r="T406" s="29" t="s">
        <v>24</v>
      </c>
      <c r="U406" s="21" t="s">
        <v>32</v>
      </c>
    </row>
    <row r="407">
      <c r="A407" s="30">
        <v>8.56591000109E11</v>
      </c>
      <c r="B407" s="20" t="s">
        <v>40</v>
      </c>
      <c r="C407" s="21">
        <v>0.15</v>
      </c>
      <c r="D407" s="21">
        <v>0.27</v>
      </c>
      <c r="E407" s="21">
        <v>0.05</v>
      </c>
      <c r="F407" s="22">
        <v>6.0</v>
      </c>
      <c r="G407" s="23"/>
      <c r="H407" s="24" t="s">
        <v>23</v>
      </c>
      <c r="I407" s="21" t="s">
        <v>24</v>
      </c>
      <c r="J407" s="24" t="s">
        <v>41</v>
      </c>
      <c r="K407" s="21" t="s">
        <v>42</v>
      </c>
      <c r="L407" s="25" t="s">
        <v>43</v>
      </c>
      <c r="M407" s="26" t="s">
        <v>28</v>
      </c>
      <c r="N407" s="24" t="s">
        <v>29</v>
      </c>
      <c r="O407" s="24" t="s">
        <v>30</v>
      </c>
      <c r="P407" s="27"/>
      <c r="Q407" s="27"/>
      <c r="R407" s="28" t="s">
        <v>44</v>
      </c>
      <c r="S407" s="8" t="s">
        <v>43</v>
      </c>
      <c r="T407" s="29" t="s">
        <v>24</v>
      </c>
      <c r="U407" s="21" t="s">
        <v>32</v>
      </c>
    </row>
    <row r="408">
      <c r="A408" s="30">
        <v>7.290002132011E12</v>
      </c>
      <c r="B408" s="20" t="s">
        <v>33</v>
      </c>
      <c r="C408" s="21">
        <v>0.17</v>
      </c>
      <c r="D408" s="21">
        <v>0.27</v>
      </c>
      <c r="E408" s="21">
        <v>0.05</v>
      </c>
      <c r="F408" s="22">
        <v>6.0</v>
      </c>
      <c r="G408" s="23"/>
      <c r="H408" s="24" t="s">
        <v>23</v>
      </c>
      <c r="I408" s="21" t="s">
        <v>24</v>
      </c>
      <c r="J408" s="24" t="s">
        <v>34</v>
      </c>
      <c r="K408" s="21" t="s">
        <v>35</v>
      </c>
      <c r="L408" s="25" t="s">
        <v>36</v>
      </c>
      <c r="M408" s="26" t="s">
        <v>37</v>
      </c>
      <c r="N408" s="24" t="s">
        <v>29</v>
      </c>
      <c r="O408" s="24" t="s">
        <v>30</v>
      </c>
      <c r="P408" s="27"/>
      <c r="Q408" s="27"/>
      <c r="R408" s="28" t="s">
        <v>38</v>
      </c>
      <c r="S408" s="8" t="s">
        <v>39</v>
      </c>
      <c r="T408" s="29" t="e">
        <v>#N/A</v>
      </c>
      <c r="U408" s="21" t="s">
        <v>32</v>
      </c>
    </row>
    <row r="409">
      <c r="A409" s="30">
        <v>5431128.0</v>
      </c>
      <c r="B409" s="20" t="s">
        <v>1140</v>
      </c>
      <c r="C409" s="21">
        <v>0.073</v>
      </c>
      <c r="D409" s="21">
        <v>0.072</v>
      </c>
      <c r="E409" s="21">
        <v>0.075</v>
      </c>
      <c r="F409" s="22">
        <v>4.0</v>
      </c>
      <c r="G409" s="23"/>
      <c r="H409" s="24" t="s">
        <v>1141</v>
      </c>
      <c r="I409" s="21" t="s">
        <v>1142</v>
      </c>
      <c r="J409" s="24" t="s">
        <v>1143</v>
      </c>
      <c r="K409" s="21" t="s">
        <v>1144</v>
      </c>
      <c r="L409" s="25" t="s">
        <v>1145</v>
      </c>
      <c r="M409" s="26" t="s">
        <v>28</v>
      </c>
      <c r="N409" s="24" t="s">
        <v>1011</v>
      </c>
      <c r="O409" s="24" t="s">
        <v>1146</v>
      </c>
      <c r="P409" s="27"/>
      <c r="Q409" s="27"/>
      <c r="R409" s="28" t="s">
        <v>1147</v>
      </c>
      <c r="S409" s="8" t="s">
        <v>1148</v>
      </c>
      <c r="T409" s="29" t="s">
        <v>1142</v>
      </c>
      <c r="U409" s="24"/>
    </row>
    <row r="410">
      <c r="A410" s="30">
        <v>5431999.0</v>
      </c>
      <c r="B410" s="20" t="s">
        <v>1149</v>
      </c>
      <c r="C410" s="21">
        <v>0.073</v>
      </c>
      <c r="D410" s="21">
        <v>0.072</v>
      </c>
      <c r="E410" s="21">
        <v>0.075</v>
      </c>
      <c r="F410" s="22">
        <v>4.0</v>
      </c>
      <c r="G410" s="23"/>
      <c r="H410" s="24" t="s">
        <v>1141</v>
      </c>
      <c r="I410" s="21" t="s">
        <v>1142</v>
      </c>
      <c r="J410" s="24" t="s">
        <v>1150</v>
      </c>
      <c r="K410" s="21" t="s">
        <v>1151</v>
      </c>
      <c r="L410" s="25" t="s">
        <v>1152</v>
      </c>
      <c r="M410" s="26" t="s">
        <v>28</v>
      </c>
      <c r="N410" s="24" t="s">
        <v>1011</v>
      </c>
      <c r="O410" s="24" t="s">
        <v>1146</v>
      </c>
      <c r="P410" s="27"/>
      <c r="Q410" s="27"/>
      <c r="R410" s="28" t="s">
        <v>1153</v>
      </c>
      <c r="S410" s="8" t="s">
        <v>1154</v>
      </c>
      <c r="T410" s="29" t="s">
        <v>1142</v>
      </c>
      <c r="U410" s="24"/>
    </row>
    <row r="411">
      <c r="A411" s="30">
        <v>7.290018194683E12</v>
      </c>
      <c r="B411" s="20" t="s">
        <v>4809</v>
      </c>
      <c r="C411" s="21">
        <v>0.09</v>
      </c>
      <c r="D411" s="21">
        <v>0.15</v>
      </c>
      <c r="E411" s="21">
        <v>0.09</v>
      </c>
      <c r="F411" s="22">
        <v>3.0</v>
      </c>
      <c r="G411" s="23"/>
      <c r="H411" s="24" t="s">
        <v>4810</v>
      </c>
      <c r="I411" s="21" t="s">
        <v>4811</v>
      </c>
      <c r="J411" s="24" t="s">
        <v>4812</v>
      </c>
      <c r="K411" s="21" t="s">
        <v>4813</v>
      </c>
      <c r="L411" s="25" t="s">
        <v>4814</v>
      </c>
      <c r="M411" s="26" t="s">
        <v>28</v>
      </c>
      <c r="N411" s="24" t="s">
        <v>4815</v>
      </c>
      <c r="O411" s="24" t="s">
        <v>4816</v>
      </c>
      <c r="P411" s="27"/>
      <c r="Q411" s="27"/>
      <c r="R411" s="31" t="s">
        <v>4817</v>
      </c>
      <c r="S411" s="33" t="s">
        <v>4818</v>
      </c>
      <c r="T411" s="29" t="s">
        <v>4819</v>
      </c>
      <c r="U411" s="24"/>
    </row>
    <row r="412">
      <c r="A412" s="30">
        <v>7.290107951111E12</v>
      </c>
      <c r="B412" s="20" t="s">
        <v>5211</v>
      </c>
      <c r="C412" s="21">
        <v>0.135</v>
      </c>
      <c r="D412" s="21">
        <v>0.2</v>
      </c>
      <c r="E412" s="21">
        <v>0.035</v>
      </c>
      <c r="F412" s="22">
        <v>9.0</v>
      </c>
      <c r="G412" s="23"/>
      <c r="H412" s="32" t="s">
        <v>1164</v>
      </c>
      <c r="I412" s="21" t="s">
        <v>5212</v>
      </c>
      <c r="J412" s="24" t="s">
        <v>223</v>
      </c>
      <c r="K412" s="21" t="s">
        <v>224</v>
      </c>
      <c r="L412" s="25" t="s">
        <v>225</v>
      </c>
      <c r="M412" s="26" t="s">
        <v>28</v>
      </c>
      <c r="N412" s="24" t="s">
        <v>185</v>
      </c>
      <c r="O412" s="24" t="s">
        <v>226</v>
      </c>
      <c r="P412" s="27"/>
      <c r="Q412" s="27"/>
      <c r="R412" s="28" t="s">
        <v>227</v>
      </c>
      <c r="S412" s="8" t="s">
        <v>228</v>
      </c>
      <c r="T412" s="29" t="s">
        <v>189</v>
      </c>
      <c r="U412" s="24"/>
    </row>
    <row r="413">
      <c r="A413" s="30">
        <v>7.290107951104E12</v>
      </c>
      <c r="B413" s="20" t="s">
        <v>5213</v>
      </c>
      <c r="C413" s="21">
        <v>0.135</v>
      </c>
      <c r="D413" s="21">
        <v>0.2</v>
      </c>
      <c r="E413" s="21">
        <v>0.035</v>
      </c>
      <c r="F413" s="22">
        <v>9.0</v>
      </c>
      <c r="G413" s="23"/>
      <c r="H413" s="32" t="s">
        <v>1164</v>
      </c>
      <c r="I413" s="21" t="s">
        <v>5212</v>
      </c>
      <c r="J413" s="24" t="s">
        <v>200</v>
      </c>
      <c r="K413" s="21" t="s">
        <v>201</v>
      </c>
      <c r="L413" s="25" t="s">
        <v>202</v>
      </c>
      <c r="M413" s="26" t="s">
        <v>28</v>
      </c>
      <c r="N413" s="24" t="s">
        <v>185</v>
      </c>
      <c r="O413" s="24" t="s">
        <v>195</v>
      </c>
      <c r="P413" s="27"/>
      <c r="Q413" s="27"/>
      <c r="R413" s="28" t="s">
        <v>203</v>
      </c>
      <c r="S413" s="8" t="s">
        <v>204</v>
      </c>
      <c r="T413" s="29" t="s">
        <v>189</v>
      </c>
      <c r="U413" s="24"/>
    </row>
    <row r="414">
      <c r="A414" s="30">
        <v>7.290000174099E12</v>
      </c>
      <c r="B414" s="20" t="s">
        <v>5214</v>
      </c>
      <c r="C414" s="21">
        <v>0.15</v>
      </c>
      <c r="D414" s="21">
        <v>0.23</v>
      </c>
      <c r="E414" s="21">
        <v>0.035</v>
      </c>
      <c r="F414" s="22">
        <v>9.0</v>
      </c>
      <c r="G414" s="23"/>
      <c r="H414" s="32" t="s">
        <v>1164</v>
      </c>
      <c r="I414" s="21" t="s">
        <v>5212</v>
      </c>
      <c r="J414" s="24" t="s">
        <v>206</v>
      </c>
      <c r="K414" s="21" t="s">
        <v>207</v>
      </c>
      <c r="L414" s="25" t="s">
        <v>208</v>
      </c>
      <c r="M414" s="26" t="s">
        <v>37</v>
      </c>
      <c r="N414" s="24" t="s">
        <v>185</v>
      </c>
      <c r="O414" s="24" t="s">
        <v>195</v>
      </c>
      <c r="P414" s="27"/>
      <c r="Q414" s="27"/>
      <c r="R414" s="28" t="s">
        <v>209</v>
      </c>
      <c r="S414" s="8" t="s">
        <v>210</v>
      </c>
      <c r="T414" s="29" t="e">
        <v>#N/A</v>
      </c>
      <c r="U414" s="24"/>
    </row>
    <row r="415">
      <c r="A415" s="30">
        <v>7.290008753883E12</v>
      </c>
      <c r="B415" s="20" t="s">
        <v>5215</v>
      </c>
      <c r="C415" s="21">
        <v>0.15</v>
      </c>
      <c r="D415" s="21">
        <v>0.23</v>
      </c>
      <c r="E415" s="21">
        <v>0.035</v>
      </c>
      <c r="F415" s="22">
        <v>9.0</v>
      </c>
      <c r="G415" s="23"/>
      <c r="H415" s="32" t="s">
        <v>1164</v>
      </c>
      <c r="I415" s="21" t="s">
        <v>5212</v>
      </c>
      <c r="J415" s="24" t="s">
        <v>213</v>
      </c>
      <c r="K415" s="21" t="s">
        <v>214</v>
      </c>
      <c r="L415" s="25" t="s">
        <v>215</v>
      </c>
      <c r="M415" s="26" t="s">
        <v>37</v>
      </c>
      <c r="N415" s="24" t="s">
        <v>185</v>
      </c>
      <c r="O415" s="24" t="s">
        <v>195</v>
      </c>
      <c r="P415" s="27"/>
      <c r="Q415" s="27"/>
      <c r="R415" s="28" t="s">
        <v>216</v>
      </c>
      <c r="S415" s="8" t="s">
        <v>217</v>
      </c>
      <c r="T415" s="29" t="e">
        <v>#N/A</v>
      </c>
      <c r="U415" s="24"/>
    </row>
    <row r="416">
      <c r="A416" s="30">
        <v>7.290107944243E12</v>
      </c>
      <c r="B416" s="20" t="s">
        <v>5216</v>
      </c>
      <c r="C416" s="21">
        <v>0.15</v>
      </c>
      <c r="D416" s="21">
        <v>0.23</v>
      </c>
      <c r="E416" s="21">
        <v>0.035</v>
      </c>
      <c r="F416" s="22">
        <v>9.0</v>
      </c>
      <c r="G416" s="23"/>
      <c r="H416" s="32" t="s">
        <v>1164</v>
      </c>
      <c r="I416" s="21" t="s">
        <v>5212</v>
      </c>
      <c r="J416" s="24" t="s">
        <v>219</v>
      </c>
      <c r="K416" s="20" t="s">
        <v>220</v>
      </c>
      <c r="L416" s="25" t="s">
        <v>221</v>
      </c>
      <c r="M416" s="26" t="s">
        <v>37</v>
      </c>
      <c r="N416" s="24"/>
      <c r="O416" s="24"/>
      <c r="P416" s="27"/>
      <c r="Q416" s="27"/>
      <c r="R416" s="31"/>
      <c r="S416" s="33"/>
      <c r="T416" s="29"/>
      <c r="U416" s="24"/>
    </row>
    <row r="417">
      <c r="A417" s="30">
        <v>7.290000181103E12</v>
      </c>
      <c r="B417" s="20" t="s">
        <v>5217</v>
      </c>
      <c r="C417" s="21">
        <v>0.24</v>
      </c>
      <c r="D417" s="21">
        <v>0.09</v>
      </c>
      <c r="E417" s="21">
        <v>0.03</v>
      </c>
      <c r="F417" s="22">
        <v>10.0</v>
      </c>
      <c r="G417" s="23"/>
      <c r="H417" s="32" t="s">
        <v>1164</v>
      </c>
      <c r="I417" s="21" t="s">
        <v>5212</v>
      </c>
      <c r="J417" s="24" t="s">
        <v>1182</v>
      </c>
      <c r="K417" s="21" t="s">
        <v>1183</v>
      </c>
      <c r="L417" s="25" t="s">
        <v>5990</v>
      </c>
      <c r="M417" s="26" t="s">
        <v>37</v>
      </c>
      <c r="N417" s="24" t="s">
        <v>501</v>
      </c>
      <c r="O417" s="24" t="s">
        <v>502</v>
      </c>
      <c r="P417" s="27"/>
      <c r="Q417" s="27"/>
      <c r="R417" s="31" t="s">
        <v>1185</v>
      </c>
      <c r="S417" s="33" t="s">
        <v>1186</v>
      </c>
      <c r="T417" s="29" t="e">
        <v>#N/A</v>
      </c>
      <c r="U417" s="24"/>
    </row>
    <row r="418">
      <c r="A418" s="30">
        <v>7.290005199622E12</v>
      </c>
      <c r="B418" s="20" t="s">
        <v>5218</v>
      </c>
      <c r="C418" s="21">
        <v>0.24</v>
      </c>
      <c r="D418" s="21">
        <v>0.09</v>
      </c>
      <c r="E418" s="21">
        <v>0.03</v>
      </c>
      <c r="F418" s="22">
        <v>10.0</v>
      </c>
      <c r="G418" s="23"/>
      <c r="H418" s="32" t="s">
        <v>1164</v>
      </c>
      <c r="I418" s="21" t="s">
        <v>5212</v>
      </c>
      <c r="J418" s="24" t="s">
        <v>1176</v>
      </c>
      <c r="K418" s="21" t="s">
        <v>1177</v>
      </c>
      <c r="L418" s="75" t="s">
        <v>1178</v>
      </c>
      <c r="M418" s="26" t="s">
        <v>37</v>
      </c>
      <c r="N418" s="24" t="s">
        <v>501</v>
      </c>
      <c r="O418" s="24" t="s">
        <v>502</v>
      </c>
      <c r="P418" s="27"/>
      <c r="Q418" s="27"/>
      <c r="R418" s="31" t="s">
        <v>1179</v>
      </c>
      <c r="S418" s="33" t="s">
        <v>1180</v>
      </c>
      <c r="T418" s="29" t="e">
        <v>#N/A</v>
      </c>
      <c r="U418" s="24"/>
    </row>
    <row r="419">
      <c r="A419" s="30">
        <v>7.290112336637E12</v>
      </c>
      <c r="B419" s="20" t="s">
        <v>5219</v>
      </c>
      <c r="C419" s="21">
        <v>0.12</v>
      </c>
      <c r="D419" s="21">
        <v>0.19</v>
      </c>
      <c r="E419" s="21">
        <v>0.015</v>
      </c>
      <c r="F419" s="22">
        <v>20.0</v>
      </c>
      <c r="G419" s="23"/>
      <c r="H419" s="32" t="s">
        <v>1164</v>
      </c>
      <c r="I419" s="21" t="s">
        <v>5212</v>
      </c>
      <c r="J419" s="24" t="s">
        <v>2914</v>
      </c>
      <c r="K419" s="21" t="s">
        <v>2915</v>
      </c>
      <c r="L419" s="25" t="s">
        <v>2916</v>
      </c>
      <c r="M419" s="26" t="s">
        <v>28</v>
      </c>
      <c r="N419" s="24" t="s">
        <v>2611</v>
      </c>
      <c r="O419" s="24" t="s">
        <v>2886</v>
      </c>
      <c r="P419" s="27"/>
      <c r="Q419" s="27"/>
      <c r="R419" s="31" t="s">
        <v>2917</v>
      </c>
      <c r="S419" s="8" t="s">
        <v>2918</v>
      </c>
      <c r="T419" s="29" t="s">
        <v>2862</v>
      </c>
      <c r="U419" s="24"/>
    </row>
    <row r="420">
      <c r="A420" s="30">
        <v>7.290112336644E12</v>
      </c>
      <c r="B420" s="20" t="s">
        <v>5220</v>
      </c>
      <c r="C420" s="21">
        <v>0.12</v>
      </c>
      <c r="D420" s="21">
        <v>0.19</v>
      </c>
      <c r="E420" s="21">
        <v>0.015</v>
      </c>
      <c r="F420" s="22">
        <v>20.0</v>
      </c>
      <c r="G420" s="23"/>
      <c r="H420" s="32" t="s">
        <v>1164</v>
      </c>
      <c r="I420" s="21" t="s">
        <v>5212</v>
      </c>
      <c r="J420" s="24" t="s">
        <v>2920</v>
      </c>
      <c r="K420" s="21" t="s">
        <v>2921</v>
      </c>
      <c r="L420" s="25" t="s">
        <v>2922</v>
      </c>
      <c r="M420" s="26" t="s">
        <v>28</v>
      </c>
      <c r="N420" s="24" t="s">
        <v>2611</v>
      </c>
      <c r="O420" s="24" t="s">
        <v>2886</v>
      </c>
      <c r="P420" s="27"/>
      <c r="Q420" s="27"/>
      <c r="R420" s="28" t="s">
        <v>2923</v>
      </c>
      <c r="S420" s="8" t="s">
        <v>2924</v>
      </c>
      <c r="T420" s="29" t="s">
        <v>2862</v>
      </c>
      <c r="U420" s="24"/>
    </row>
    <row r="421">
      <c r="A421" s="30">
        <v>7.290112337481E12</v>
      </c>
      <c r="B421" s="20" t="s">
        <v>5221</v>
      </c>
      <c r="C421" s="21">
        <v>0.12</v>
      </c>
      <c r="D421" s="21">
        <v>0.19</v>
      </c>
      <c r="E421" s="21">
        <v>0.015</v>
      </c>
      <c r="F421" s="22">
        <v>20.0</v>
      </c>
      <c r="G421" s="23"/>
      <c r="H421" s="32" t="s">
        <v>1164</v>
      </c>
      <c r="I421" s="21" t="s">
        <v>5212</v>
      </c>
      <c r="J421" s="24" t="s">
        <v>2908</v>
      </c>
      <c r="K421" s="21" t="s">
        <v>2909</v>
      </c>
      <c r="L421" s="25" t="s">
        <v>2910</v>
      </c>
      <c r="M421" s="26" t="s">
        <v>28</v>
      </c>
      <c r="N421" s="24" t="s">
        <v>2611</v>
      </c>
      <c r="O421" s="24" t="s">
        <v>2886</v>
      </c>
      <c r="P421" s="27"/>
      <c r="Q421" s="27"/>
      <c r="R421" s="28" t="s">
        <v>2911</v>
      </c>
      <c r="S421" s="8" t="s">
        <v>2912</v>
      </c>
      <c r="T421" s="29" t="s">
        <v>2862</v>
      </c>
      <c r="U421" s="24"/>
    </row>
    <row r="422">
      <c r="A422" s="30">
        <v>7.290112336651E12</v>
      </c>
      <c r="B422" s="20" t="s">
        <v>5222</v>
      </c>
      <c r="C422" s="21">
        <v>0.12</v>
      </c>
      <c r="D422" s="21">
        <v>0.19</v>
      </c>
      <c r="E422" s="21">
        <v>0.015</v>
      </c>
      <c r="F422" s="22">
        <v>20.0</v>
      </c>
      <c r="G422" s="23"/>
      <c r="H422" s="32" t="s">
        <v>1164</v>
      </c>
      <c r="I422" s="21" t="s">
        <v>5212</v>
      </c>
      <c r="J422" s="24" t="s">
        <v>2902</v>
      </c>
      <c r="K422" s="21" t="s">
        <v>2903</v>
      </c>
      <c r="L422" s="25" t="s">
        <v>2904</v>
      </c>
      <c r="M422" s="26" t="s">
        <v>28</v>
      </c>
      <c r="N422" s="24" t="s">
        <v>2611</v>
      </c>
      <c r="O422" s="24" t="s">
        <v>2886</v>
      </c>
      <c r="P422" s="27"/>
      <c r="Q422" s="27"/>
      <c r="R422" s="28" t="s">
        <v>2905</v>
      </c>
      <c r="S422" s="8" t="s">
        <v>2906</v>
      </c>
      <c r="T422" s="29" t="s">
        <v>2862</v>
      </c>
      <c r="U422" s="24"/>
    </row>
    <row r="423">
      <c r="A423" s="30">
        <v>7.290112337474E12</v>
      </c>
      <c r="B423" s="20" t="s">
        <v>5223</v>
      </c>
      <c r="C423" s="21">
        <v>0.12</v>
      </c>
      <c r="D423" s="21">
        <v>0.19</v>
      </c>
      <c r="E423" s="21">
        <v>0.015</v>
      </c>
      <c r="F423" s="22">
        <v>20.0</v>
      </c>
      <c r="G423" s="23"/>
      <c r="H423" s="32" t="s">
        <v>1164</v>
      </c>
      <c r="I423" s="21" t="s">
        <v>5212</v>
      </c>
      <c r="J423" s="24" t="s">
        <v>2896</v>
      </c>
      <c r="K423" s="21" t="s">
        <v>2897</v>
      </c>
      <c r="L423" s="25" t="s">
        <v>2898</v>
      </c>
      <c r="M423" s="26" t="s">
        <v>28</v>
      </c>
      <c r="N423" s="24" t="s">
        <v>2611</v>
      </c>
      <c r="O423" s="24" t="s">
        <v>2886</v>
      </c>
      <c r="P423" s="27"/>
      <c r="Q423" s="27"/>
      <c r="R423" s="28" t="s">
        <v>2899</v>
      </c>
      <c r="S423" s="33" t="s">
        <v>2900</v>
      </c>
      <c r="T423" s="29" t="s">
        <v>2862</v>
      </c>
      <c r="U423" s="24"/>
    </row>
    <row r="424">
      <c r="A424" s="30">
        <v>7.290100853689E12</v>
      </c>
      <c r="B424" s="20" t="s">
        <v>5224</v>
      </c>
      <c r="C424" s="21">
        <v>0.28</v>
      </c>
      <c r="D424" s="21">
        <v>0.125</v>
      </c>
      <c r="E424" s="21">
        <v>0.03</v>
      </c>
      <c r="F424" s="22">
        <v>10.0</v>
      </c>
      <c r="G424" s="23"/>
      <c r="H424" s="32" t="s">
        <v>1164</v>
      </c>
      <c r="I424" s="21" t="s">
        <v>5212</v>
      </c>
      <c r="J424" s="24" t="s">
        <v>1211</v>
      </c>
      <c r="K424" s="21" t="s">
        <v>1212</v>
      </c>
      <c r="L424" s="25" t="s">
        <v>1213</v>
      </c>
      <c r="M424" s="26" t="s">
        <v>28</v>
      </c>
      <c r="N424" s="24" t="s">
        <v>1194</v>
      </c>
      <c r="O424" s="24" t="s">
        <v>1195</v>
      </c>
      <c r="P424" s="27"/>
      <c r="Q424" s="27"/>
      <c r="R424" s="28" t="s">
        <v>1214</v>
      </c>
      <c r="S424" s="8" t="s">
        <v>1215</v>
      </c>
      <c r="T424" s="29" t="s">
        <v>1198</v>
      </c>
      <c r="U424" s="24"/>
    </row>
    <row r="425">
      <c r="A425" s="30">
        <v>7.290112345332E12</v>
      </c>
      <c r="B425" s="20" t="s">
        <v>5225</v>
      </c>
      <c r="C425" s="21">
        <v>0.27</v>
      </c>
      <c r="D425" s="21">
        <v>0.115</v>
      </c>
      <c r="E425" s="21">
        <v>0.045</v>
      </c>
      <c r="F425" s="22">
        <v>7.0</v>
      </c>
      <c r="G425" s="23"/>
      <c r="H425" s="32" t="s">
        <v>1164</v>
      </c>
      <c r="I425" s="21" t="s">
        <v>5212</v>
      </c>
      <c r="J425" s="24" t="s">
        <v>1200</v>
      </c>
      <c r="K425" s="21" t="s">
        <v>1201</v>
      </c>
      <c r="L425" s="25" t="s">
        <v>1202</v>
      </c>
      <c r="M425" s="26" t="s">
        <v>28</v>
      </c>
      <c r="N425" s="24" t="s">
        <v>1194</v>
      </c>
      <c r="O425" s="24" t="s">
        <v>1203</v>
      </c>
      <c r="P425" s="27"/>
      <c r="Q425" s="27"/>
      <c r="R425" s="28" t="s">
        <v>1204</v>
      </c>
      <c r="S425" s="8" t="s">
        <v>1205</v>
      </c>
      <c r="T425" s="29" t="s">
        <v>1198</v>
      </c>
      <c r="U425" s="24"/>
    </row>
    <row r="426">
      <c r="A426" s="30">
        <v>7.290110564513E12</v>
      </c>
      <c r="B426" s="20" t="s">
        <v>5226</v>
      </c>
      <c r="C426" s="21">
        <v>0.27</v>
      </c>
      <c r="D426" s="21">
        <v>0.115</v>
      </c>
      <c r="E426" s="21">
        <v>0.045</v>
      </c>
      <c r="F426" s="22">
        <v>7.0</v>
      </c>
      <c r="G426" s="23"/>
      <c r="H426" s="32" t="s">
        <v>1164</v>
      </c>
      <c r="I426" s="21" t="s">
        <v>5212</v>
      </c>
      <c r="J426" s="24" t="s">
        <v>1207</v>
      </c>
      <c r="K426" s="20" t="s">
        <v>1208</v>
      </c>
      <c r="L426" s="25" t="s">
        <v>1209</v>
      </c>
      <c r="M426" s="26" t="s">
        <v>37</v>
      </c>
      <c r="N426" s="24"/>
      <c r="O426" s="24"/>
      <c r="P426" s="27"/>
      <c r="Q426" s="27"/>
      <c r="R426" s="28"/>
      <c r="S426" s="8"/>
      <c r="T426" s="29"/>
      <c r="U426" s="24"/>
    </row>
    <row r="427">
      <c r="A427" s="30">
        <v>7.290000174723E12</v>
      </c>
      <c r="B427" s="20" t="s">
        <v>5227</v>
      </c>
      <c r="C427" s="21">
        <v>0.085</v>
      </c>
      <c r="D427" s="21">
        <v>0.14</v>
      </c>
      <c r="E427" s="21">
        <v>0.09999999</v>
      </c>
      <c r="F427" s="22">
        <v>3.0</v>
      </c>
      <c r="G427" s="23"/>
      <c r="H427" s="32" t="s">
        <v>1164</v>
      </c>
      <c r="I427" s="21" t="s">
        <v>5212</v>
      </c>
      <c r="J427" s="24" t="s">
        <v>1166</v>
      </c>
      <c r="K427" s="21" t="s">
        <v>1167</v>
      </c>
      <c r="L427" s="25" t="s">
        <v>1168</v>
      </c>
      <c r="M427" s="26" t="s">
        <v>37</v>
      </c>
      <c r="N427" s="24" t="s">
        <v>1169</v>
      </c>
      <c r="O427" s="24" t="s">
        <v>1169</v>
      </c>
      <c r="P427" s="27"/>
      <c r="Q427" s="27"/>
      <c r="R427" s="28" t="s">
        <v>1170</v>
      </c>
      <c r="S427" s="8" t="s">
        <v>1171</v>
      </c>
      <c r="T427" s="29" t="e">
        <v>#N/A</v>
      </c>
      <c r="U427" s="24"/>
    </row>
    <row r="428">
      <c r="A428" s="30">
        <v>7.290110111564E12</v>
      </c>
      <c r="B428" s="20" t="s">
        <v>3537</v>
      </c>
      <c r="C428" s="21">
        <v>0.07</v>
      </c>
      <c r="D428" s="21">
        <v>0.24</v>
      </c>
      <c r="E428" s="21">
        <v>0.07</v>
      </c>
      <c r="F428" s="22">
        <v>4.0</v>
      </c>
      <c r="G428" s="23"/>
      <c r="H428" s="24" t="s">
        <v>3538</v>
      </c>
      <c r="I428" s="21" t="s">
        <v>3539</v>
      </c>
      <c r="J428" s="24" t="s">
        <v>3540</v>
      </c>
      <c r="K428" s="21" t="s">
        <v>3541</v>
      </c>
      <c r="L428" s="25" t="s">
        <v>3542</v>
      </c>
      <c r="M428" s="26" t="s">
        <v>28</v>
      </c>
      <c r="N428" s="24" t="s">
        <v>340</v>
      </c>
      <c r="O428" s="24" t="s">
        <v>1645</v>
      </c>
      <c r="P428" s="27"/>
      <c r="Q428" s="27"/>
      <c r="R428" s="28" t="s">
        <v>3543</v>
      </c>
      <c r="S428" s="33" t="s">
        <v>3544</v>
      </c>
      <c r="T428" s="29" t="s">
        <v>3539</v>
      </c>
      <c r="U428" s="24"/>
    </row>
    <row r="429">
      <c r="A429" s="30">
        <v>7.290110111557E12</v>
      </c>
      <c r="B429" s="20" t="s">
        <v>3545</v>
      </c>
      <c r="C429" s="21">
        <v>0.07</v>
      </c>
      <c r="D429" s="21">
        <v>0.24</v>
      </c>
      <c r="E429" s="21">
        <v>0.07</v>
      </c>
      <c r="F429" s="22">
        <v>4.0</v>
      </c>
      <c r="G429" s="23"/>
      <c r="H429" s="24" t="s">
        <v>3538</v>
      </c>
      <c r="I429" s="21" t="s">
        <v>3539</v>
      </c>
      <c r="J429" s="24" t="s">
        <v>3546</v>
      </c>
      <c r="K429" s="21" t="s">
        <v>3547</v>
      </c>
      <c r="L429" s="25" t="s">
        <v>3548</v>
      </c>
      <c r="M429" s="26" t="s">
        <v>28</v>
      </c>
      <c r="N429" s="24" t="s">
        <v>340</v>
      </c>
      <c r="O429" s="24" t="s">
        <v>1645</v>
      </c>
      <c r="P429" s="27"/>
      <c r="Q429" s="27"/>
      <c r="R429" s="31" t="s">
        <v>3549</v>
      </c>
      <c r="S429" s="8" t="s">
        <v>3550</v>
      </c>
      <c r="T429" s="29" t="s">
        <v>3539</v>
      </c>
      <c r="U429" s="24"/>
    </row>
    <row r="430">
      <c r="A430" s="30">
        <v>7.290011018443E12</v>
      </c>
      <c r="B430" s="20" t="s">
        <v>1368</v>
      </c>
      <c r="C430" s="21">
        <v>0.057</v>
      </c>
      <c r="D430" s="21">
        <v>0.14</v>
      </c>
      <c r="E430" s="21">
        <v>0.057</v>
      </c>
      <c r="F430" s="22">
        <v>5.0</v>
      </c>
      <c r="G430" s="23"/>
      <c r="H430" s="24" t="s">
        <v>1345</v>
      </c>
      <c r="I430" s="21" t="s">
        <v>1346</v>
      </c>
      <c r="J430" s="24" t="s">
        <v>1369</v>
      </c>
      <c r="K430" s="21" t="s">
        <v>1370</v>
      </c>
      <c r="L430" s="25" t="s">
        <v>1371</v>
      </c>
      <c r="M430" s="26" t="s">
        <v>28</v>
      </c>
      <c r="N430" s="24" t="s">
        <v>1351</v>
      </c>
      <c r="O430" s="24" t="s">
        <v>1359</v>
      </c>
      <c r="P430" s="27"/>
      <c r="Q430" s="27"/>
      <c r="R430" s="28" t="s">
        <v>1372</v>
      </c>
      <c r="S430" s="8" t="s">
        <v>1373</v>
      </c>
      <c r="T430" s="29" t="s">
        <v>1346</v>
      </c>
      <c r="U430" s="24"/>
    </row>
    <row r="431">
      <c r="A431" s="30">
        <v>7.290005605895E12</v>
      </c>
      <c r="B431" s="20" t="s">
        <v>1355</v>
      </c>
      <c r="C431" s="21">
        <v>0.065</v>
      </c>
      <c r="D431" s="21">
        <v>0.24</v>
      </c>
      <c r="E431" s="21">
        <v>0.065</v>
      </c>
      <c r="F431" s="22">
        <v>5.0</v>
      </c>
      <c r="G431" s="23"/>
      <c r="H431" s="24" t="s">
        <v>1345</v>
      </c>
      <c r="I431" s="21" t="s">
        <v>1346</v>
      </c>
      <c r="J431" s="24" t="s">
        <v>1356</v>
      </c>
      <c r="K431" s="21" t="s">
        <v>1357</v>
      </c>
      <c r="L431" s="25" t="s">
        <v>1358</v>
      </c>
      <c r="M431" s="26" t="s">
        <v>37</v>
      </c>
      <c r="N431" s="24" t="s">
        <v>1351</v>
      </c>
      <c r="O431" s="24" t="s">
        <v>1359</v>
      </c>
      <c r="P431" s="27"/>
      <c r="Q431" s="27"/>
      <c r="R431" s="28" t="s">
        <v>1360</v>
      </c>
      <c r="S431" s="8" t="s">
        <v>1361</v>
      </c>
      <c r="T431" s="29" t="e">
        <v>#N/A</v>
      </c>
      <c r="U431" s="24"/>
    </row>
    <row r="432">
      <c r="A432" s="30">
        <v>7.290001594179E12</v>
      </c>
      <c r="B432" s="20" t="s">
        <v>1362</v>
      </c>
      <c r="C432" s="21">
        <v>0.065</v>
      </c>
      <c r="D432" s="21">
        <v>0.24</v>
      </c>
      <c r="E432" s="21">
        <v>0.065</v>
      </c>
      <c r="F432" s="22">
        <v>5.0</v>
      </c>
      <c r="G432" s="23"/>
      <c r="H432" s="24" t="s">
        <v>1345</v>
      </c>
      <c r="I432" s="21" t="s">
        <v>1346</v>
      </c>
      <c r="J432" s="24" t="s">
        <v>1363</v>
      </c>
      <c r="K432" s="21" t="s">
        <v>1364</v>
      </c>
      <c r="L432" s="25" t="s">
        <v>1365</v>
      </c>
      <c r="M432" s="26" t="s">
        <v>37</v>
      </c>
      <c r="N432" s="24" t="s">
        <v>1351</v>
      </c>
      <c r="O432" s="24" t="s">
        <v>1359</v>
      </c>
      <c r="P432" s="27"/>
      <c r="Q432" s="27"/>
      <c r="R432" s="28" t="s">
        <v>1366</v>
      </c>
      <c r="S432" s="8" t="s">
        <v>1367</v>
      </c>
      <c r="T432" s="29" t="e">
        <v>#N/A</v>
      </c>
      <c r="U432" s="24"/>
    </row>
    <row r="433">
      <c r="A433" s="30">
        <v>7.290003667109E12</v>
      </c>
      <c r="B433" s="20" t="s">
        <v>1374</v>
      </c>
      <c r="C433" s="21">
        <v>0.095</v>
      </c>
      <c r="D433" s="21">
        <v>0.333</v>
      </c>
      <c r="E433" s="21">
        <v>0.095</v>
      </c>
      <c r="F433" s="22">
        <v>3.0</v>
      </c>
      <c r="G433" s="23"/>
      <c r="H433" s="24" t="s">
        <v>1345</v>
      </c>
      <c r="I433" s="21" t="s">
        <v>1346</v>
      </c>
      <c r="J433" s="24" t="s">
        <v>1375</v>
      </c>
      <c r="K433" s="21" t="s">
        <v>1376</v>
      </c>
      <c r="L433" s="25" t="s">
        <v>1377</v>
      </c>
      <c r="M433" s="26" t="s">
        <v>37</v>
      </c>
      <c r="N433" s="24" t="s">
        <v>1351</v>
      </c>
      <c r="O433" s="24" t="s">
        <v>1352</v>
      </c>
      <c r="P433" s="27"/>
      <c r="Q433" s="27"/>
      <c r="R433" s="28" t="s">
        <v>1378</v>
      </c>
      <c r="S433" s="8" t="s">
        <v>1379</v>
      </c>
      <c r="T433" s="29" t="e">
        <v>#N/A</v>
      </c>
      <c r="U433" s="24"/>
    </row>
    <row r="434">
      <c r="A434" s="30">
        <v>7.290005605901E12</v>
      </c>
      <c r="B434" s="20" t="s">
        <v>1344</v>
      </c>
      <c r="C434" s="21">
        <v>0.095</v>
      </c>
      <c r="D434" s="21">
        <v>0.333</v>
      </c>
      <c r="E434" s="21">
        <v>0.095</v>
      </c>
      <c r="F434" s="22">
        <v>3.0</v>
      </c>
      <c r="G434" s="23"/>
      <c r="H434" s="24" t="s">
        <v>1345</v>
      </c>
      <c r="I434" s="21" t="s">
        <v>1346</v>
      </c>
      <c r="J434" s="24" t="s">
        <v>1348</v>
      </c>
      <c r="K434" s="21" t="s">
        <v>1349</v>
      </c>
      <c r="L434" s="25" t="s">
        <v>1350</v>
      </c>
      <c r="M434" s="26" t="s">
        <v>37</v>
      </c>
      <c r="N434" s="24" t="s">
        <v>1351</v>
      </c>
      <c r="O434" s="24" t="s">
        <v>1352</v>
      </c>
      <c r="P434" s="27"/>
      <c r="Q434" s="27"/>
      <c r="R434" s="28" t="s">
        <v>1353</v>
      </c>
      <c r="S434" s="8" t="s">
        <v>1354</v>
      </c>
      <c r="T434" s="29" t="e">
        <v>#N/A</v>
      </c>
      <c r="U434" s="24"/>
    </row>
    <row r="435">
      <c r="A435" s="30">
        <v>7.290000066431E12</v>
      </c>
      <c r="B435" s="20" t="s">
        <v>3529</v>
      </c>
      <c r="C435" s="21">
        <v>0.14</v>
      </c>
      <c r="D435" s="21">
        <v>0.18</v>
      </c>
      <c r="E435" s="21">
        <v>0.012</v>
      </c>
      <c r="F435" s="22">
        <v>25.0</v>
      </c>
      <c r="G435" s="23"/>
      <c r="H435" s="24" t="s">
        <v>3530</v>
      </c>
      <c r="I435" s="21" t="s">
        <v>3531</v>
      </c>
      <c r="J435" s="24" t="s">
        <v>3532</v>
      </c>
      <c r="K435" s="21" t="s">
        <v>3533</v>
      </c>
      <c r="L435" s="25" t="s">
        <v>3534</v>
      </c>
      <c r="M435" s="26" t="s">
        <v>37</v>
      </c>
      <c r="N435" s="24" t="s">
        <v>109</v>
      </c>
      <c r="O435" s="24" t="s">
        <v>3526</v>
      </c>
      <c r="P435" s="27"/>
      <c r="Q435" s="27"/>
      <c r="R435" s="28" t="s">
        <v>3535</v>
      </c>
      <c r="S435" s="8" t="s">
        <v>3536</v>
      </c>
      <c r="T435" s="29" t="e">
        <v>#N/A</v>
      </c>
      <c r="U435" s="21" t="s">
        <v>113</v>
      </c>
    </row>
    <row r="436">
      <c r="A436" s="30">
        <v>7.29010665626E12</v>
      </c>
      <c r="B436" s="20" t="s">
        <v>3520</v>
      </c>
      <c r="C436" s="21">
        <v>0.135</v>
      </c>
      <c r="D436" s="21">
        <v>0.2</v>
      </c>
      <c r="E436" s="21">
        <v>0.06</v>
      </c>
      <c r="F436" s="22">
        <v>5.0</v>
      </c>
      <c r="G436" s="23"/>
      <c r="H436" s="24" t="s">
        <v>3521</v>
      </c>
      <c r="I436" s="21" t="s">
        <v>3522</v>
      </c>
      <c r="J436" s="24" t="s">
        <v>3523</v>
      </c>
      <c r="K436" s="21" t="s">
        <v>3524</v>
      </c>
      <c r="L436" s="25" t="s">
        <v>3525</v>
      </c>
      <c r="M436" s="26" t="s">
        <v>28</v>
      </c>
      <c r="N436" s="24" t="s">
        <v>109</v>
      </c>
      <c r="O436" s="24" t="s">
        <v>3526</v>
      </c>
      <c r="P436" s="27"/>
      <c r="Q436" s="27"/>
      <c r="R436" s="28" t="s">
        <v>3527</v>
      </c>
      <c r="S436" s="8" t="s">
        <v>3525</v>
      </c>
      <c r="T436" s="29" t="s">
        <v>3528</v>
      </c>
      <c r="U436" s="21" t="s">
        <v>113</v>
      </c>
    </row>
    <row r="437">
      <c r="A437" s="30">
        <v>9.044400841E12</v>
      </c>
      <c r="B437" s="20" t="s">
        <v>3454</v>
      </c>
      <c r="C437" s="21">
        <v>0.08</v>
      </c>
      <c r="D437" s="21">
        <v>0.22</v>
      </c>
      <c r="E437" s="21">
        <v>0.05</v>
      </c>
      <c r="F437" s="22">
        <v>6.0</v>
      </c>
      <c r="G437" s="23"/>
      <c r="H437" s="24" t="s">
        <v>3455</v>
      </c>
      <c r="I437" s="21" t="s">
        <v>3456</v>
      </c>
      <c r="J437" s="24" t="s">
        <v>3457</v>
      </c>
      <c r="K437" s="21" t="s">
        <v>3458</v>
      </c>
      <c r="L437" s="25" t="s">
        <v>3459</v>
      </c>
      <c r="M437" s="26" t="s">
        <v>28</v>
      </c>
      <c r="N437" s="24" t="s">
        <v>3460</v>
      </c>
      <c r="O437" s="24" t="s">
        <v>3461</v>
      </c>
      <c r="P437" s="27"/>
      <c r="Q437" s="27"/>
      <c r="R437" s="28" t="s">
        <v>3462</v>
      </c>
      <c r="S437" s="8" t="s">
        <v>3463</v>
      </c>
      <c r="T437" s="29" t="s">
        <v>3456</v>
      </c>
      <c r="U437" s="24"/>
    </row>
    <row r="438">
      <c r="A438" s="30">
        <v>7.29011011349E12</v>
      </c>
      <c r="B438" s="20" t="s">
        <v>1629</v>
      </c>
      <c r="C438" s="21">
        <v>0.073</v>
      </c>
      <c r="D438" s="21">
        <v>0.205</v>
      </c>
      <c r="E438" s="21">
        <v>0.073</v>
      </c>
      <c r="F438" s="22">
        <v>4.0</v>
      </c>
      <c r="G438" s="23"/>
      <c r="H438" s="24" t="s">
        <v>1578</v>
      </c>
      <c r="I438" s="21" t="s">
        <v>1579</v>
      </c>
      <c r="J438" s="24" t="s">
        <v>1630</v>
      </c>
      <c r="K438" s="21" t="s">
        <v>1631</v>
      </c>
      <c r="L438" s="25" t="s">
        <v>1632</v>
      </c>
      <c r="M438" s="26" t="s">
        <v>28</v>
      </c>
      <c r="N438" s="24" t="s">
        <v>149</v>
      </c>
      <c r="O438" s="24" t="s">
        <v>150</v>
      </c>
      <c r="P438" s="27"/>
      <c r="Q438" s="27"/>
      <c r="R438" s="28" t="s">
        <v>1633</v>
      </c>
      <c r="S438" s="8" t="s">
        <v>1634</v>
      </c>
      <c r="T438" s="29" t="s">
        <v>1586</v>
      </c>
      <c r="U438" s="24"/>
    </row>
    <row r="439">
      <c r="A439" s="30">
        <v>7.290110110765E12</v>
      </c>
      <c r="B439" s="20" t="s">
        <v>1623</v>
      </c>
      <c r="C439" s="21">
        <v>0.073</v>
      </c>
      <c r="D439" s="21">
        <v>0.205</v>
      </c>
      <c r="E439" s="21">
        <v>0.073</v>
      </c>
      <c r="F439" s="22">
        <v>4.0</v>
      </c>
      <c r="G439" s="23"/>
      <c r="H439" s="24" t="s">
        <v>1578</v>
      </c>
      <c r="I439" s="21" t="s">
        <v>1579</v>
      </c>
      <c r="J439" s="24" t="s">
        <v>1624</v>
      </c>
      <c r="K439" s="21" t="s">
        <v>1625</v>
      </c>
      <c r="L439" s="25" t="s">
        <v>1626</v>
      </c>
      <c r="M439" s="26" t="s">
        <v>28</v>
      </c>
      <c r="N439" s="24" t="s">
        <v>149</v>
      </c>
      <c r="O439" s="24" t="s">
        <v>150</v>
      </c>
      <c r="P439" s="27"/>
      <c r="Q439" s="27"/>
      <c r="R439" s="28" t="s">
        <v>1627</v>
      </c>
      <c r="S439" s="8" t="s">
        <v>1628</v>
      </c>
      <c r="T439" s="29" t="s">
        <v>1586</v>
      </c>
      <c r="U439" s="24"/>
    </row>
    <row r="440">
      <c r="A440" s="30">
        <v>7.290110112141E12</v>
      </c>
      <c r="B440" s="20" t="s">
        <v>1617</v>
      </c>
      <c r="C440" s="21">
        <v>0.07</v>
      </c>
      <c r="D440" s="21">
        <v>0.205</v>
      </c>
      <c r="E440" s="21">
        <v>0.02</v>
      </c>
      <c r="F440" s="22">
        <v>15.0</v>
      </c>
      <c r="G440" s="23"/>
      <c r="H440" s="24" t="s">
        <v>1578</v>
      </c>
      <c r="I440" s="21" t="s">
        <v>1579</v>
      </c>
      <c r="J440" s="24" t="s">
        <v>1618</v>
      </c>
      <c r="K440" s="21" t="s">
        <v>1619</v>
      </c>
      <c r="L440" s="25" t="s">
        <v>1620</v>
      </c>
      <c r="M440" s="26" t="s">
        <v>28</v>
      </c>
      <c r="N440" s="24" t="s">
        <v>149</v>
      </c>
      <c r="O440" s="24" t="s">
        <v>150</v>
      </c>
      <c r="P440" s="27"/>
      <c r="Q440" s="27"/>
      <c r="R440" s="28" t="s">
        <v>1621</v>
      </c>
      <c r="S440" s="8" t="s">
        <v>1622</v>
      </c>
      <c r="T440" s="29" t="s">
        <v>1586</v>
      </c>
      <c r="U440" s="24"/>
    </row>
    <row r="441">
      <c r="A441" s="30">
        <v>7.290011018191E12</v>
      </c>
      <c r="B441" s="20" t="s">
        <v>1611</v>
      </c>
      <c r="C441" s="21">
        <v>0.073</v>
      </c>
      <c r="D441" s="21">
        <v>0.205</v>
      </c>
      <c r="E441" s="21">
        <v>0.02</v>
      </c>
      <c r="F441" s="22">
        <v>15.0</v>
      </c>
      <c r="G441" s="23"/>
      <c r="H441" s="24" t="s">
        <v>1578</v>
      </c>
      <c r="I441" s="21" t="s">
        <v>1579</v>
      </c>
      <c r="J441" s="24" t="s">
        <v>1612</v>
      </c>
      <c r="K441" s="21" t="s">
        <v>1613</v>
      </c>
      <c r="L441" s="25" t="s">
        <v>1614</v>
      </c>
      <c r="M441" s="26" t="s">
        <v>28</v>
      </c>
      <c r="N441" s="24" t="s">
        <v>149</v>
      </c>
      <c r="O441" s="24" t="s">
        <v>150</v>
      </c>
      <c r="P441" s="27"/>
      <c r="Q441" s="27"/>
      <c r="R441" s="28" t="s">
        <v>1615</v>
      </c>
      <c r="S441" s="8" t="s">
        <v>1616</v>
      </c>
      <c r="T441" s="29" t="s">
        <v>1586</v>
      </c>
      <c r="U441" s="24"/>
    </row>
    <row r="442">
      <c r="A442" s="30">
        <v>7.290011018184E12</v>
      </c>
      <c r="B442" s="20" t="s">
        <v>1587</v>
      </c>
      <c r="C442" s="21">
        <v>0.073</v>
      </c>
      <c r="D442" s="21">
        <v>0.205</v>
      </c>
      <c r="E442" s="21">
        <v>0.02</v>
      </c>
      <c r="F442" s="22">
        <v>15.0</v>
      </c>
      <c r="G442" s="23"/>
      <c r="H442" s="24" t="s">
        <v>1578</v>
      </c>
      <c r="I442" s="21" t="s">
        <v>1579</v>
      </c>
      <c r="J442" s="24" t="s">
        <v>1588</v>
      </c>
      <c r="K442" s="21" t="s">
        <v>1589</v>
      </c>
      <c r="L442" s="25" t="s">
        <v>1590</v>
      </c>
      <c r="M442" s="26" t="s">
        <v>28</v>
      </c>
      <c r="N442" s="24" t="s">
        <v>149</v>
      </c>
      <c r="O442" s="24" t="s">
        <v>150</v>
      </c>
      <c r="P442" s="27"/>
      <c r="Q442" s="27"/>
      <c r="R442" s="28" t="s">
        <v>1591</v>
      </c>
      <c r="S442" s="8" t="s">
        <v>1592</v>
      </c>
      <c r="T442" s="29" t="s">
        <v>1586</v>
      </c>
      <c r="U442" s="24"/>
    </row>
    <row r="443">
      <c r="A443" s="30">
        <v>7.290011018214E12</v>
      </c>
      <c r="B443" s="20" t="s">
        <v>1602</v>
      </c>
      <c r="C443" s="21">
        <v>0.073</v>
      </c>
      <c r="D443" s="21">
        <v>0.205</v>
      </c>
      <c r="E443" s="21">
        <v>0.02</v>
      </c>
      <c r="F443" s="22">
        <v>15.0</v>
      </c>
      <c r="G443" s="23"/>
      <c r="H443" s="24" t="s">
        <v>1578</v>
      </c>
      <c r="I443" s="21" t="s">
        <v>1579</v>
      </c>
      <c r="J443" s="24" t="s">
        <v>1603</v>
      </c>
      <c r="K443" s="21" t="s">
        <v>1604</v>
      </c>
      <c r="L443" s="25" t="s">
        <v>1605</v>
      </c>
      <c r="M443" s="26" t="s">
        <v>28</v>
      </c>
      <c r="N443" s="24" t="s">
        <v>149</v>
      </c>
      <c r="O443" s="24" t="s">
        <v>150</v>
      </c>
      <c r="P443" s="27"/>
      <c r="Q443" s="27"/>
      <c r="R443" s="28" t="s">
        <v>1606</v>
      </c>
      <c r="S443" s="8" t="s">
        <v>1607</v>
      </c>
      <c r="T443" s="29" t="s">
        <v>1586</v>
      </c>
      <c r="U443" s="24"/>
    </row>
    <row r="444">
      <c r="A444" s="30">
        <v>7.290110113483E12</v>
      </c>
      <c r="B444" s="20" t="s">
        <v>1629</v>
      </c>
      <c r="C444" s="21">
        <v>0.09199999</v>
      </c>
      <c r="D444" s="21">
        <v>0.3</v>
      </c>
      <c r="E444" s="21">
        <v>0.09199999</v>
      </c>
      <c r="F444" s="22">
        <v>3.0</v>
      </c>
      <c r="G444" s="23"/>
      <c r="H444" s="24" t="s">
        <v>1578</v>
      </c>
      <c r="I444" s="21" t="s">
        <v>1579</v>
      </c>
      <c r="J444" s="24" t="s">
        <v>1630</v>
      </c>
      <c r="K444" s="21" t="s">
        <v>1631</v>
      </c>
      <c r="L444" s="25" t="s">
        <v>1635</v>
      </c>
      <c r="M444" s="26" t="s">
        <v>28</v>
      </c>
      <c r="N444" s="24" t="s">
        <v>149</v>
      </c>
      <c r="O444" s="24" t="s">
        <v>163</v>
      </c>
      <c r="P444" s="27"/>
      <c r="Q444" s="27"/>
      <c r="R444" s="28" t="s">
        <v>1636</v>
      </c>
      <c r="S444" s="8" t="s">
        <v>1637</v>
      </c>
      <c r="T444" s="29" t="s">
        <v>1586</v>
      </c>
      <c r="U444" s="24"/>
    </row>
    <row r="445">
      <c r="A445" s="30">
        <v>7.290011018283E12</v>
      </c>
      <c r="B445" s="20" t="s">
        <v>1587</v>
      </c>
      <c r="C445" s="21">
        <v>0.09199999</v>
      </c>
      <c r="D445" s="21">
        <v>0.3</v>
      </c>
      <c r="E445" s="21">
        <v>0.09199999</v>
      </c>
      <c r="F445" s="22">
        <v>3.0</v>
      </c>
      <c r="G445" s="23"/>
      <c r="H445" s="24" t="s">
        <v>1578</v>
      </c>
      <c r="I445" s="21" t="s">
        <v>1579</v>
      </c>
      <c r="J445" s="24" t="s">
        <v>1588</v>
      </c>
      <c r="K445" s="21" t="s">
        <v>1589</v>
      </c>
      <c r="L445" s="25" t="s">
        <v>1593</v>
      </c>
      <c r="M445" s="26" t="s">
        <v>28</v>
      </c>
      <c r="N445" s="24" t="s">
        <v>149</v>
      </c>
      <c r="O445" s="24" t="s">
        <v>163</v>
      </c>
      <c r="P445" s="27"/>
      <c r="Q445" s="27"/>
      <c r="R445" s="28" t="s">
        <v>1594</v>
      </c>
      <c r="S445" s="8" t="s">
        <v>1595</v>
      </c>
      <c r="T445" s="29" t="s">
        <v>1586</v>
      </c>
      <c r="U445" s="24"/>
    </row>
    <row r="446">
      <c r="A446" s="30">
        <v>7.290011018306E12</v>
      </c>
      <c r="B446" s="20" t="s">
        <v>1596</v>
      </c>
      <c r="C446" s="21">
        <v>0.09199999</v>
      </c>
      <c r="D446" s="21">
        <v>0.3</v>
      </c>
      <c r="E446" s="21">
        <v>0.09199999</v>
      </c>
      <c r="F446" s="22">
        <v>3.0</v>
      </c>
      <c r="G446" s="23"/>
      <c r="H446" s="24" t="s">
        <v>1578</v>
      </c>
      <c r="I446" s="21" t="s">
        <v>1579</v>
      </c>
      <c r="J446" s="24" t="s">
        <v>1597</v>
      </c>
      <c r="K446" s="21" t="s">
        <v>1598</v>
      </c>
      <c r="L446" s="25" t="s">
        <v>1599</v>
      </c>
      <c r="M446" s="26" t="s">
        <v>28</v>
      </c>
      <c r="N446" s="24" t="s">
        <v>149</v>
      </c>
      <c r="O446" s="24" t="s">
        <v>163</v>
      </c>
      <c r="P446" s="27"/>
      <c r="Q446" s="27"/>
      <c r="R446" s="31" t="s">
        <v>1600</v>
      </c>
      <c r="S446" s="8" t="s">
        <v>1601</v>
      </c>
      <c r="T446" s="29" t="s">
        <v>1586</v>
      </c>
      <c r="U446" s="24"/>
    </row>
    <row r="447">
      <c r="A447" s="30">
        <v>7.290011018252E12</v>
      </c>
      <c r="B447" s="20" t="s">
        <v>1602</v>
      </c>
      <c r="C447" s="21">
        <v>0.09199999</v>
      </c>
      <c r="D447" s="21">
        <v>0.3</v>
      </c>
      <c r="E447" s="21">
        <v>0.09199999</v>
      </c>
      <c r="F447" s="22">
        <v>3.0</v>
      </c>
      <c r="G447" s="23"/>
      <c r="H447" s="24" t="s">
        <v>1578</v>
      </c>
      <c r="I447" s="21" t="s">
        <v>1579</v>
      </c>
      <c r="J447" s="24" t="s">
        <v>1603</v>
      </c>
      <c r="K447" s="21" t="s">
        <v>1604</v>
      </c>
      <c r="L447" s="25" t="s">
        <v>1608</v>
      </c>
      <c r="M447" s="26" t="s">
        <v>28</v>
      </c>
      <c r="N447" s="24" t="s">
        <v>149</v>
      </c>
      <c r="O447" s="24" t="s">
        <v>163</v>
      </c>
      <c r="P447" s="27"/>
      <c r="Q447" s="27"/>
      <c r="R447" s="28" t="s">
        <v>1609</v>
      </c>
      <c r="S447" s="8" t="s">
        <v>1610</v>
      </c>
      <c r="T447" s="29" t="s">
        <v>1586</v>
      </c>
      <c r="U447" s="24"/>
    </row>
    <row r="448">
      <c r="A448" s="30">
        <v>7.29001101858E12</v>
      </c>
      <c r="B448" s="20" t="s">
        <v>1577</v>
      </c>
      <c r="C448" s="21">
        <v>0.09199999</v>
      </c>
      <c r="D448" s="21">
        <v>0.3</v>
      </c>
      <c r="E448" s="21">
        <v>0.09199999</v>
      </c>
      <c r="F448" s="22">
        <v>3.0</v>
      </c>
      <c r="G448" s="23"/>
      <c r="H448" s="24" t="s">
        <v>1578</v>
      </c>
      <c r="I448" s="21" t="s">
        <v>1579</v>
      </c>
      <c r="J448" s="24" t="s">
        <v>1581</v>
      </c>
      <c r="K448" s="21" t="s">
        <v>1582</v>
      </c>
      <c r="L448" s="25" t="s">
        <v>1583</v>
      </c>
      <c r="M448" s="26" t="s">
        <v>28</v>
      </c>
      <c r="N448" s="24" t="s">
        <v>149</v>
      </c>
      <c r="O448" s="24" t="s">
        <v>163</v>
      </c>
      <c r="P448" s="27"/>
      <c r="Q448" s="27"/>
      <c r="R448" s="31" t="s">
        <v>1584</v>
      </c>
      <c r="S448" s="8" t="s">
        <v>1585</v>
      </c>
      <c r="T448" s="29" t="s">
        <v>1586</v>
      </c>
      <c r="U448" s="24"/>
    </row>
    <row r="449">
      <c r="A449" s="30">
        <v>7.29011296566E12</v>
      </c>
      <c r="B449" s="20" t="s">
        <v>1389</v>
      </c>
      <c r="C449" s="21">
        <v>0.15</v>
      </c>
      <c r="D449" s="21">
        <v>0.175</v>
      </c>
      <c r="E449" s="21">
        <v>0.03</v>
      </c>
      <c r="F449" s="22">
        <v>10.0</v>
      </c>
      <c r="G449" s="23"/>
      <c r="H449" s="24" t="s">
        <v>1390</v>
      </c>
      <c r="I449" s="21" t="s">
        <v>1391</v>
      </c>
      <c r="J449" s="24" t="s">
        <v>1392</v>
      </c>
      <c r="K449" s="21" t="s">
        <v>1393</v>
      </c>
      <c r="L449" s="25" t="s">
        <v>1394</v>
      </c>
      <c r="M449" s="26" t="s">
        <v>28</v>
      </c>
      <c r="N449" s="24" t="s">
        <v>109</v>
      </c>
      <c r="O449" s="24" t="s">
        <v>1395</v>
      </c>
      <c r="P449" s="27"/>
      <c r="Q449" s="27"/>
      <c r="R449" s="28" t="s">
        <v>1396</v>
      </c>
      <c r="S449" s="8" t="s">
        <v>1394</v>
      </c>
      <c r="T449" s="29" t="s">
        <v>1391</v>
      </c>
      <c r="U449" s="21" t="s">
        <v>113</v>
      </c>
    </row>
    <row r="450">
      <c r="A450" s="30">
        <v>7.290112965684E12</v>
      </c>
      <c r="B450" s="20" t="s">
        <v>1402</v>
      </c>
      <c r="C450" s="21">
        <v>0.15</v>
      </c>
      <c r="D450" s="21">
        <v>0.175</v>
      </c>
      <c r="E450" s="21">
        <v>0.03</v>
      </c>
      <c r="F450" s="22">
        <v>10.0</v>
      </c>
      <c r="G450" s="23"/>
      <c r="H450" s="24" t="s">
        <v>1390</v>
      </c>
      <c r="I450" s="21" t="s">
        <v>1391</v>
      </c>
      <c r="J450" s="24" t="s">
        <v>1403</v>
      </c>
      <c r="K450" s="21" t="s">
        <v>1404</v>
      </c>
      <c r="L450" s="25" t="s">
        <v>1405</v>
      </c>
      <c r="M450" s="26" t="s">
        <v>28</v>
      </c>
      <c r="N450" s="24" t="s">
        <v>109</v>
      </c>
      <c r="O450" s="24" t="s">
        <v>1395</v>
      </c>
      <c r="P450" s="27"/>
      <c r="Q450" s="27"/>
      <c r="R450" s="28" t="s">
        <v>1406</v>
      </c>
      <c r="S450" s="8" t="s">
        <v>1405</v>
      </c>
      <c r="T450" s="29" t="s">
        <v>1391</v>
      </c>
      <c r="U450" s="21" t="s">
        <v>113</v>
      </c>
    </row>
    <row r="451">
      <c r="A451" s="30">
        <v>7.290112965707E12</v>
      </c>
      <c r="B451" s="20" t="s">
        <v>1397</v>
      </c>
      <c r="C451" s="21">
        <v>0.15</v>
      </c>
      <c r="D451" s="21">
        <v>0.175</v>
      </c>
      <c r="E451" s="21">
        <v>0.03</v>
      </c>
      <c r="F451" s="22">
        <v>10.0</v>
      </c>
      <c r="G451" s="23"/>
      <c r="H451" s="24" t="s">
        <v>1390</v>
      </c>
      <c r="I451" s="21" t="s">
        <v>1391</v>
      </c>
      <c r="J451" s="24" t="s">
        <v>1398</v>
      </c>
      <c r="K451" s="21" t="s">
        <v>1399</v>
      </c>
      <c r="L451" s="25" t="s">
        <v>1400</v>
      </c>
      <c r="M451" s="26" t="s">
        <v>28</v>
      </c>
      <c r="N451" s="24" t="s">
        <v>109</v>
      </c>
      <c r="O451" s="24" t="s">
        <v>1395</v>
      </c>
      <c r="P451" s="27"/>
      <c r="Q451" s="27"/>
      <c r="R451" s="28" t="s">
        <v>1401</v>
      </c>
      <c r="S451" s="8" t="s">
        <v>1400</v>
      </c>
      <c r="T451" s="29" t="s">
        <v>1391</v>
      </c>
      <c r="U451" s="21" t="s">
        <v>113</v>
      </c>
    </row>
    <row r="452">
      <c r="A452" s="30">
        <v>4120566.0</v>
      </c>
      <c r="B452" s="20" t="s">
        <v>3464</v>
      </c>
      <c r="C452" s="21">
        <v>0.09999999</v>
      </c>
      <c r="D452" s="21">
        <v>0.09</v>
      </c>
      <c r="E452" s="21">
        <v>0.075</v>
      </c>
      <c r="F452" s="22">
        <v>4.0</v>
      </c>
      <c r="G452" s="23"/>
      <c r="H452" s="24" t="s">
        <v>3465</v>
      </c>
      <c r="I452" s="21" t="s">
        <v>3466</v>
      </c>
      <c r="J452" s="24" t="s">
        <v>3467</v>
      </c>
      <c r="K452" s="21" t="s">
        <v>3468</v>
      </c>
      <c r="L452" s="25" t="s">
        <v>3469</v>
      </c>
      <c r="M452" s="26" t="s">
        <v>28</v>
      </c>
      <c r="N452" s="24" t="s">
        <v>3470</v>
      </c>
      <c r="O452" s="24" t="s">
        <v>3471</v>
      </c>
      <c r="P452" s="27"/>
      <c r="Q452" s="27"/>
      <c r="R452" s="28" t="s">
        <v>3472</v>
      </c>
      <c r="S452" s="8" t="s">
        <v>3473</v>
      </c>
      <c r="T452" s="29" t="s">
        <v>3466</v>
      </c>
      <c r="U452" s="24"/>
    </row>
    <row r="453">
      <c r="A453" s="30">
        <v>4120573.0</v>
      </c>
      <c r="B453" s="20" t="s">
        <v>3481</v>
      </c>
      <c r="C453" s="21">
        <v>0.09999999</v>
      </c>
      <c r="D453" s="21">
        <v>0.09</v>
      </c>
      <c r="E453" s="21">
        <v>0.075</v>
      </c>
      <c r="F453" s="22">
        <v>4.0</v>
      </c>
      <c r="G453" s="23"/>
      <c r="H453" s="24" t="s">
        <v>3465</v>
      </c>
      <c r="I453" s="21" t="s">
        <v>3466</v>
      </c>
      <c r="J453" s="24" t="s">
        <v>3482</v>
      </c>
      <c r="K453" s="21" t="s">
        <v>3483</v>
      </c>
      <c r="L453" s="25" t="s">
        <v>3484</v>
      </c>
      <c r="M453" s="26" t="s">
        <v>28</v>
      </c>
      <c r="N453" s="24" t="s">
        <v>3470</v>
      </c>
      <c r="O453" s="24" t="s">
        <v>3471</v>
      </c>
      <c r="P453" s="27"/>
      <c r="Q453" s="27"/>
      <c r="R453" s="31" t="s">
        <v>3485</v>
      </c>
      <c r="S453" s="33" t="s">
        <v>3486</v>
      </c>
      <c r="T453" s="29" t="s">
        <v>3466</v>
      </c>
      <c r="U453" s="24"/>
    </row>
    <row r="454">
      <c r="A454" s="30">
        <v>4120634.0</v>
      </c>
      <c r="B454" s="20" t="s">
        <v>3487</v>
      </c>
      <c r="C454" s="21">
        <v>0.09999999</v>
      </c>
      <c r="D454" s="21">
        <v>0.09</v>
      </c>
      <c r="E454" s="21">
        <v>0.09999999</v>
      </c>
      <c r="F454" s="22">
        <v>3.0</v>
      </c>
      <c r="G454" s="23"/>
      <c r="H454" s="24" t="s">
        <v>3465</v>
      </c>
      <c r="I454" s="21" t="s">
        <v>3466</v>
      </c>
      <c r="J454" s="24" t="s">
        <v>3488</v>
      </c>
      <c r="K454" s="21" t="s">
        <v>3489</v>
      </c>
      <c r="L454" s="25" t="s">
        <v>3490</v>
      </c>
      <c r="M454" s="26" t="s">
        <v>28</v>
      </c>
      <c r="N454" s="24" t="s">
        <v>3470</v>
      </c>
      <c r="O454" s="24" t="s">
        <v>3471</v>
      </c>
      <c r="P454" s="27"/>
      <c r="Q454" s="27"/>
      <c r="R454" s="31" t="s">
        <v>3491</v>
      </c>
      <c r="S454" s="33" t="s">
        <v>3492</v>
      </c>
      <c r="T454" s="29" t="s">
        <v>3466</v>
      </c>
      <c r="U454" s="24"/>
    </row>
    <row r="455">
      <c r="A455" s="30">
        <v>48437.0</v>
      </c>
      <c r="B455" s="20" t="s">
        <v>3499</v>
      </c>
      <c r="C455" s="21">
        <v>0.11</v>
      </c>
      <c r="D455" s="21">
        <v>0.09999999</v>
      </c>
      <c r="E455" s="21">
        <v>0.065</v>
      </c>
      <c r="F455" s="22">
        <v>5.0</v>
      </c>
      <c r="G455" s="23"/>
      <c r="H455" s="24" t="s">
        <v>3465</v>
      </c>
      <c r="I455" s="21" t="s">
        <v>3466</v>
      </c>
      <c r="J455" s="24" t="s">
        <v>3500</v>
      </c>
      <c r="K455" s="21" t="s">
        <v>3501</v>
      </c>
      <c r="L455" s="25" t="s">
        <v>3502</v>
      </c>
      <c r="M455" s="26" t="s">
        <v>28</v>
      </c>
      <c r="N455" s="24" t="s">
        <v>3470</v>
      </c>
      <c r="O455" s="24" t="s">
        <v>3503</v>
      </c>
      <c r="P455" s="27"/>
      <c r="Q455" s="27"/>
      <c r="R455" s="31" t="s">
        <v>3504</v>
      </c>
      <c r="S455" s="33" t="s">
        <v>3505</v>
      </c>
      <c r="T455" s="29" t="s">
        <v>3466</v>
      </c>
      <c r="U455" s="24"/>
    </row>
    <row r="456">
      <c r="A456" s="30">
        <v>4137809.0</v>
      </c>
      <c r="B456" s="20" t="s">
        <v>3493</v>
      </c>
      <c r="C456" s="21">
        <v>0.11</v>
      </c>
      <c r="D456" s="21">
        <v>0.09999999</v>
      </c>
      <c r="E456" s="21">
        <v>0.075</v>
      </c>
      <c r="F456" s="22">
        <v>4.0</v>
      </c>
      <c r="G456" s="23"/>
      <c r="H456" s="24" t="s">
        <v>3465</v>
      </c>
      <c r="I456" s="21" t="s">
        <v>3466</v>
      </c>
      <c r="J456" s="24" t="s">
        <v>3494</v>
      </c>
      <c r="K456" s="21" t="s">
        <v>3495</v>
      </c>
      <c r="L456" s="25" t="s">
        <v>3496</v>
      </c>
      <c r="M456" s="26" t="s">
        <v>28</v>
      </c>
      <c r="N456" s="24" t="s">
        <v>2311</v>
      </c>
      <c r="O456" s="24" t="s">
        <v>2312</v>
      </c>
      <c r="P456" s="27"/>
      <c r="Q456" s="27"/>
      <c r="R456" s="28" t="s">
        <v>3497</v>
      </c>
      <c r="S456" s="8" t="s">
        <v>3498</v>
      </c>
      <c r="T456" s="29" t="s">
        <v>3466</v>
      </c>
      <c r="U456" s="24"/>
    </row>
    <row r="457">
      <c r="A457" s="30">
        <v>5.201044009706E12</v>
      </c>
      <c r="B457" s="20" t="s">
        <v>3316</v>
      </c>
      <c r="C457" s="21">
        <v>0.12</v>
      </c>
      <c r="D457" s="21">
        <v>0.18</v>
      </c>
      <c r="E457" s="21">
        <v>0.04</v>
      </c>
      <c r="F457" s="22">
        <v>8.0</v>
      </c>
      <c r="G457" s="23"/>
      <c r="H457" s="24" t="s">
        <v>3317</v>
      </c>
      <c r="I457" s="21" t="s">
        <v>3318</v>
      </c>
      <c r="J457" s="24" t="s">
        <v>3319</v>
      </c>
      <c r="K457" s="21" t="s">
        <v>3320</v>
      </c>
      <c r="L457" s="25" t="s">
        <v>3321</v>
      </c>
      <c r="M457" s="26" t="s">
        <v>28</v>
      </c>
      <c r="N457" s="24" t="s">
        <v>109</v>
      </c>
      <c r="O457" s="24" t="s">
        <v>1395</v>
      </c>
      <c r="P457" s="27"/>
      <c r="Q457" s="27"/>
      <c r="R457" s="28" t="s">
        <v>3322</v>
      </c>
      <c r="S457" s="8" t="s">
        <v>3321</v>
      </c>
      <c r="T457" s="29" t="s">
        <v>3323</v>
      </c>
      <c r="U457" s="21" t="s">
        <v>1798</v>
      </c>
    </row>
    <row r="458">
      <c r="A458" s="30">
        <v>7.290018440193E12</v>
      </c>
      <c r="B458" s="20" t="s">
        <v>1407</v>
      </c>
      <c r="C458" s="21">
        <v>0.18</v>
      </c>
      <c r="D458" s="21">
        <v>0.215</v>
      </c>
      <c r="E458" s="21">
        <v>0.04</v>
      </c>
      <c r="F458" s="22">
        <v>8.0</v>
      </c>
      <c r="G458" s="23"/>
      <c r="H458" s="24" t="s">
        <v>1408</v>
      </c>
      <c r="I458" s="21" t="s">
        <v>1409</v>
      </c>
      <c r="J458" s="24" t="s">
        <v>1410</v>
      </c>
      <c r="K458" s="21" t="s">
        <v>1411</v>
      </c>
      <c r="L458" s="25" t="s">
        <v>1412</v>
      </c>
      <c r="M458" s="26" t="s">
        <v>28</v>
      </c>
      <c r="N458" s="24" t="s">
        <v>1413</v>
      </c>
      <c r="O458" s="24" t="s">
        <v>1414</v>
      </c>
      <c r="P458" s="27"/>
      <c r="Q458" s="27"/>
      <c r="R458" s="28" t="s">
        <v>1415</v>
      </c>
      <c r="S458" s="8" t="s">
        <v>1412</v>
      </c>
      <c r="T458" s="29" t="s">
        <v>1416</v>
      </c>
      <c r="U458" s="21" t="s">
        <v>32</v>
      </c>
    </row>
    <row r="459">
      <c r="A459" s="30">
        <v>7.290018440209E12</v>
      </c>
      <c r="B459" s="20" t="s">
        <v>1422</v>
      </c>
      <c r="C459" s="21">
        <v>0.18</v>
      </c>
      <c r="D459" s="21">
        <v>0.215</v>
      </c>
      <c r="E459" s="21">
        <v>0.04</v>
      </c>
      <c r="F459" s="22">
        <v>8.0</v>
      </c>
      <c r="G459" s="23"/>
      <c r="H459" s="24" t="s">
        <v>1408</v>
      </c>
      <c r="I459" s="21" t="s">
        <v>1409</v>
      </c>
      <c r="J459" s="24" t="s">
        <v>1423</v>
      </c>
      <c r="K459" s="21" t="s">
        <v>1424</v>
      </c>
      <c r="L459" s="25" t="s">
        <v>1425</v>
      </c>
      <c r="M459" s="26" t="s">
        <v>28</v>
      </c>
      <c r="N459" s="24" t="s">
        <v>1413</v>
      </c>
      <c r="O459" s="24" t="s">
        <v>1414</v>
      </c>
      <c r="P459" s="27"/>
      <c r="Q459" s="27"/>
      <c r="R459" s="28" t="s">
        <v>1426</v>
      </c>
      <c r="S459" s="8" t="s">
        <v>1425</v>
      </c>
      <c r="T459" s="29" t="s">
        <v>1416</v>
      </c>
      <c r="U459" s="21" t="s">
        <v>32</v>
      </c>
    </row>
    <row r="460">
      <c r="A460" s="30">
        <v>7.290017513775E12</v>
      </c>
      <c r="B460" s="20" t="s">
        <v>1417</v>
      </c>
      <c r="C460" s="21">
        <v>0.175</v>
      </c>
      <c r="D460" s="21">
        <v>0.215</v>
      </c>
      <c r="E460" s="21">
        <v>0.04</v>
      </c>
      <c r="F460" s="22">
        <v>8.0</v>
      </c>
      <c r="G460" s="23"/>
      <c r="H460" s="24" t="s">
        <v>1408</v>
      </c>
      <c r="I460" s="21" t="s">
        <v>1409</v>
      </c>
      <c r="J460" s="24" t="s">
        <v>1418</v>
      </c>
      <c r="K460" s="21" t="s">
        <v>1419</v>
      </c>
      <c r="L460" s="25" t="s">
        <v>1420</v>
      </c>
      <c r="M460" s="26" t="s">
        <v>28</v>
      </c>
      <c r="N460" s="24" t="s">
        <v>1413</v>
      </c>
      <c r="O460" s="24" t="s">
        <v>1414</v>
      </c>
      <c r="P460" s="27"/>
      <c r="Q460" s="27"/>
      <c r="R460" s="28" t="s">
        <v>1421</v>
      </c>
      <c r="S460" s="8" t="s">
        <v>1420</v>
      </c>
      <c r="T460" s="29" t="s">
        <v>1416</v>
      </c>
      <c r="U460" s="21" t="s">
        <v>32</v>
      </c>
    </row>
    <row r="461">
      <c r="A461" s="30">
        <v>7.290107954457E12</v>
      </c>
      <c r="B461" s="20" t="s">
        <v>1187</v>
      </c>
      <c r="C461" s="21">
        <v>0.28</v>
      </c>
      <c r="D461" s="21">
        <v>0.128</v>
      </c>
      <c r="E461" s="21">
        <v>0.03</v>
      </c>
      <c r="F461" s="22">
        <v>10.0</v>
      </c>
      <c r="G461" s="23"/>
      <c r="H461" s="24" t="s">
        <v>3385</v>
      </c>
      <c r="I461" s="21" t="s">
        <v>1189</v>
      </c>
      <c r="J461" s="24" t="s">
        <v>1191</v>
      </c>
      <c r="K461" s="21" t="s">
        <v>1192</v>
      </c>
      <c r="L461" s="25" t="s">
        <v>1193</v>
      </c>
      <c r="M461" s="26" t="s">
        <v>28</v>
      </c>
      <c r="N461" s="24" t="s">
        <v>1194</v>
      </c>
      <c r="O461" s="24" t="s">
        <v>1195</v>
      </c>
      <c r="P461" s="27"/>
      <c r="Q461" s="27"/>
      <c r="R461" s="28" t="s">
        <v>1196</v>
      </c>
      <c r="S461" s="8" t="s">
        <v>1197</v>
      </c>
      <c r="T461" s="29" t="s">
        <v>1198</v>
      </c>
      <c r="U461" s="24"/>
    </row>
    <row r="462">
      <c r="A462" s="30">
        <v>7.290112349262E12</v>
      </c>
      <c r="B462" s="20" t="s">
        <v>3126</v>
      </c>
      <c r="C462" s="21">
        <v>0.07</v>
      </c>
      <c r="D462" s="21">
        <v>0.105</v>
      </c>
      <c r="E462" s="21">
        <v>0.05</v>
      </c>
      <c r="F462" s="22">
        <v>6.0</v>
      </c>
      <c r="G462" s="23"/>
      <c r="H462" s="24" t="s">
        <v>3385</v>
      </c>
      <c r="I462" s="21" t="s">
        <v>2071</v>
      </c>
      <c r="J462" s="24" t="s">
        <v>3127</v>
      </c>
      <c r="K462" s="21" t="s">
        <v>3128</v>
      </c>
      <c r="L462" s="25" t="s">
        <v>3129</v>
      </c>
      <c r="M462" s="26" t="s">
        <v>28</v>
      </c>
      <c r="N462" s="24" t="s">
        <v>501</v>
      </c>
      <c r="O462" s="24" t="s">
        <v>729</v>
      </c>
      <c r="P462" s="27"/>
      <c r="Q462" s="27"/>
      <c r="R462" s="28" t="s">
        <v>3130</v>
      </c>
      <c r="S462" s="8" t="s">
        <v>3131</v>
      </c>
      <c r="T462" s="29" t="s">
        <v>2077</v>
      </c>
      <c r="U462" s="24"/>
    </row>
    <row r="463">
      <c r="A463" s="30">
        <v>7.2992357E7</v>
      </c>
      <c r="B463" s="20" t="s">
        <v>3393</v>
      </c>
      <c r="C463" s="21">
        <v>0.145</v>
      </c>
      <c r="D463" s="21">
        <v>0.035</v>
      </c>
      <c r="E463" s="21">
        <v>0.02</v>
      </c>
      <c r="F463" s="22">
        <v>15.0</v>
      </c>
      <c r="G463" s="23"/>
      <c r="H463" s="24" t="s">
        <v>3385</v>
      </c>
      <c r="I463" s="21" t="s">
        <v>3386</v>
      </c>
      <c r="J463" s="24" t="s">
        <v>3394</v>
      </c>
      <c r="K463" s="21" t="s">
        <v>3395</v>
      </c>
      <c r="L463" s="25" t="s">
        <v>3396</v>
      </c>
      <c r="M463" s="26" t="s">
        <v>28</v>
      </c>
      <c r="N463" s="24" t="s">
        <v>501</v>
      </c>
      <c r="O463" s="24" t="s">
        <v>502</v>
      </c>
      <c r="P463" s="27"/>
      <c r="Q463" s="27"/>
      <c r="R463" s="28" t="s">
        <v>3397</v>
      </c>
      <c r="S463" s="33" t="s">
        <v>3398</v>
      </c>
      <c r="T463" s="29" t="s">
        <v>3392</v>
      </c>
      <c r="U463" s="24"/>
    </row>
    <row r="464">
      <c r="A464" s="30">
        <v>7.2917893E7</v>
      </c>
      <c r="B464" s="20" t="s">
        <v>3408</v>
      </c>
      <c r="C464" s="21">
        <v>0.16</v>
      </c>
      <c r="D464" s="21">
        <v>0.035</v>
      </c>
      <c r="E464" s="21">
        <v>0.02</v>
      </c>
      <c r="F464" s="22">
        <v>15.0</v>
      </c>
      <c r="G464" s="23"/>
      <c r="H464" s="24" t="s">
        <v>3385</v>
      </c>
      <c r="I464" s="21" t="s">
        <v>3386</v>
      </c>
      <c r="J464" s="24" t="s">
        <v>3409</v>
      </c>
      <c r="K464" s="21" t="s">
        <v>3410</v>
      </c>
      <c r="L464" s="25" t="s">
        <v>3411</v>
      </c>
      <c r="M464" s="26" t="s">
        <v>28</v>
      </c>
      <c r="N464" s="24" t="s">
        <v>501</v>
      </c>
      <c r="O464" s="24" t="s">
        <v>502</v>
      </c>
      <c r="P464" s="27"/>
      <c r="Q464" s="27"/>
      <c r="R464" s="28" t="s">
        <v>3412</v>
      </c>
      <c r="S464" s="8" t="s">
        <v>3413</v>
      </c>
      <c r="T464" s="29" t="s">
        <v>3392</v>
      </c>
      <c r="U464" s="24"/>
    </row>
    <row r="465">
      <c r="A465" s="30">
        <v>7.2994061E7</v>
      </c>
      <c r="B465" s="20" t="s">
        <v>3414</v>
      </c>
      <c r="C465" s="21">
        <v>0.13</v>
      </c>
      <c r="D465" s="21">
        <v>0.045</v>
      </c>
      <c r="E465" s="21">
        <v>0.02</v>
      </c>
      <c r="F465" s="22">
        <v>15.0</v>
      </c>
      <c r="G465" s="23"/>
      <c r="H465" s="24" t="s">
        <v>3385</v>
      </c>
      <c r="I465" s="21" t="s">
        <v>3386</v>
      </c>
      <c r="J465" s="24" t="s">
        <v>3415</v>
      </c>
      <c r="K465" s="21" t="s">
        <v>3416</v>
      </c>
      <c r="L465" s="25" t="s">
        <v>3417</v>
      </c>
      <c r="M465" s="26" t="s">
        <v>28</v>
      </c>
      <c r="N465" s="24" t="s">
        <v>501</v>
      </c>
      <c r="O465" s="24" t="s">
        <v>502</v>
      </c>
      <c r="P465" s="27"/>
      <c r="Q465" s="27"/>
      <c r="R465" s="31" t="s">
        <v>3418</v>
      </c>
      <c r="S465" s="8" t="s">
        <v>3419</v>
      </c>
      <c r="T465" s="29" t="s">
        <v>3392</v>
      </c>
      <c r="U465" s="24"/>
    </row>
    <row r="466">
      <c r="A466" s="30">
        <v>7.290112358004E12</v>
      </c>
      <c r="B466" s="20" t="s">
        <v>3420</v>
      </c>
      <c r="C466" s="21">
        <v>0.16</v>
      </c>
      <c r="D466" s="21">
        <v>0.035</v>
      </c>
      <c r="E466" s="21">
        <v>0.018</v>
      </c>
      <c r="F466" s="22">
        <v>17.0</v>
      </c>
      <c r="G466" s="23"/>
      <c r="H466" s="24" t="s">
        <v>3385</v>
      </c>
      <c r="I466" s="21" t="s">
        <v>3386</v>
      </c>
      <c r="J466" s="24" t="s">
        <v>3421</v>
      </c>
      <c r="K466" s="21" t="s">
        <v>3422</v>
      </c>
      <c r="L466" s="25" t="s">
        <v>3423</v>
      </c>
      <c r="M466" s="26" t="s">
        <v>28</v>
      </c>
      <c r="N466" s="24" t="s">
        <v>501</v>
      </c>
      <c r="O466" s="24" t="s">
        <v>502</v>
      </c>
      <c r="P466" s="27"/>
      <c r="Q466" s="27"/>
      <c r="R466" s="28" t="s">
        <v>3424</v>
      </c>
      <c r="S466" s="8" t="s">
        <v>3425</v>
      </c>
      <c r="T466" s="29" t="s">
        <v>3392</v>
      </c>
      <c r="U466" s="24"/>
    </row>
    <row r="467">
      <c r="A467" s="30">
        <v>7.290112348234E12</v>
      </c>
      <c r="B467" s="20" t="s">
        <v>3384</v>
      </c>
      <c r="C467" s="21">
        <v>0.16</v>
      </c>
      <c r="D467" s="21">
        <v>0.035</v>
      </c>
      <c r="E467" s="21">
        <v>0.017</v>
      </c>
      <c r="F467" s="22">
        <v>18.0</v>
      </c>
      <c r="G467" s="23"/>
      <c r="H467" s="24" t="s">
        <v>3385</v>
      </c>
      <c r="I467" s="21" t="s">
        <v>3386</v>
      </c>
      <c r="J467" s="24" t="s">
        <v>3387</v>
      </c>
      <c r="K467" s="21" t="s">
        <v>3388</v>
      </c>
      <c r="L467" s="25" t="s">
        <v>3389</v>
      </c>
      <c r="M467" s="26" t="s">
        <v>28</v>
      </c>
      <c r="N467" s="24" t="s">
        <v>501</v>
      </c>
      <c r="O467" s="24" t="s">
        <v>502</v>
      </c>
      <c r="P467" s="27"/>
      <c r="Q467" s="27"/>
      <c r="R467" s="28" t="s">
        <v>3390</v>
      </c>
      <c r="S467" s="8" t="s">
        <v>3391</v>
      </c>
      <c r="T467" s="29" t="s">
        <v>3392</v>
      </c>
      <c r="U467" s="24"/>
    </row>
    <row r="468">
      <c r="A468" s="30">
        <v>7.290112348234E12</v>
      </c>
      <c r="B468" s="20" t="s">
        <v>3432</v>
      </c>
      <c r="C468" s="21">
        <v>0.16</v>
      </c>
      <c r="D468" s="21">
        <v>0.035</v>
      </c>
      <c r="E468" s="21">
        <v>0.017</v>
      </c>
      <c r="F468" s="22">
        <v>18.0</v>
      </c>
      <c r="G468" s="23"/>
      <c r="H468" s="24" t="s">
        <v>3385</v>
      </c>
      <c r="I468" s="21" t="s">
        <v>3386</v>
      </c>
      <c r="J468" s="24" t="s">
        <v>3433</v>
      </c>
      <c r="K468" s="21" t="s">
        <v>3434</v>
      </c>
      <c r="L468" s="25" t="s">
        <v>3435</v>
      </c>
      <c r="M468" s="26" t="s">
        <v>28</v>
      </c>
      <c r="N468" s="24" t="s">
        <v>501</v>
      </c>
      <c r="O468" s="24" t="s">
        <v>502</v>
      </c>
      <c r="P468" s="27"/>
      <c r="Q468" s="27"/>
      <c r="R468" s="28" t="s">
        <v>3436</v>
      </c>
      <c r="S468" s="8" t="s">
        <v>3437</v>
      </c>
      <c r="T468" s="29" t="s">
        <v>3392</v>
      </c>
      <c r="U468" s="24"/>
    </row>
    <row r="469">
      <c r="A469" s="30">
        <v>7.29011235035E12</v>
      </c>
      <c r="B469" s="20" t="s">
        <v>3426</v>
      </c>
      <c r="C469" s="21">
        <v>0.16</v>
      </c>
      <c r="D469" s="21">
        <v>0.035</v>
      </c>
      <c r="E469" s="21">
        <v>0.017</v>
      </c>
      <c r="F469" s="22">
        <v>18.0</v>
      </c>
      <c r="G469" s="23"/>
      <c r="H469" s="24" t="s">
        <v>3385</v>
      </c>
      <c r="I469" s="21" t="s">
        <v>3386</v>
      </c>
      <c r="J469" s="24" t="s">
        <v>3427</v>
      </c>
      <c r="K469" s="21" t="s">
        <v>3428</v>
      </c>
      <c r="L469" s="25" t="s">
        <v>3429</v>
      </c>
      <c r="M469" s="26" t="s">
        <v>28</v>
      </c>
      <c r="N469" s="24" t="s">
        <v>501</v>
      </c>
      <c r="O469" s="24" t="s">
        <v>502</v>
      </c>
      <c r="P469" s="27"/>
      <c r="Q469" s="27"/>
      <c r="R469" s="28" t="s">
        <v>3430</v>
      </c>
      <c r="S469" s="8" t="s">
        <v>3431</v>
      </c>
      <c r="T469" s="29" t="s">
        <v>3392</v>
      </c>
      <c r="U469" s="24"/>
    </row>
    <row r="470">
      <c r="A470" s="30">
        <v>7.290112332691E12</v>
      </c>
      <c r="B470" s="20" t="s">
        <v>5228</v>
      </c>
      <c r="C470" s="21">
        <v>0.265</v>
      </c>
      <c r="D470" s="21">
        <v>0.09</v>
      </c>
      <c r="E470" s="21">
        <v>0.03</v>
      </c>
      <c r="F470" s="22">
        <v>10.0</v>
      </c>
      <c r="G470" s="23"/>
      <c r="H470" s="24" t="s">
        <v>3385</v>
      </c>
      <c r="I470" s="21" t="s">
        <v>3386</v>
      </c>
      <c r="J470" s="24" t="s">
        <v>3402</v>
      </c>
      <c r="K470" s="21" t="s">
        <v>3403</v>
      </c>
      <c r="L470" s="25" t="s">
        <v>3404</v>
      </c>
      <c r="M470" s="26" t="s">
        <v>28</v>
      </c>
      <c r="N470" s="24" t="s">
        <v>2364</v>
      </c>
      <c r="O470" s="24" t="s">
        <v>3164</v>
      </c>
      <c r="P470" s="27"/>
      <c r="Q470" s="27"/>
      <c r="R470" s="28" t="s">
        <v>3405</v>
      </c>
      <c r="S470" s="8" t="s">
        <v>3406</v>
      </c>
      <c r="T470" s="29" t="s">
        <v>3407</v>
      </c>
      <c r="U470" s="24"/>
    </row>
    <row r="471">
      <c r="A471" s="30">
        <v>7.290010237548E12</v>
      </c>
      <c r="B471" s="20" t="s">
        <v>3350</v>
      </c>
      <c r="C471" s="21">
        <v>0.065</v>
      </c>
      <c r="D471" s="21">
        <v>0.24</v>
      </c>
      <c r="E471" s="21">
        <v>0.065</v>
      </c>
      <c r="F471" s="22">
        <v>5.0</v>
      </c>
      <c r="G471" s="23"/>
      <c r="H471" s="24" t="s">
        <v>3325</v>
      </c>
      <c r="I471" s="21" t="s">
        <v>3326</v>
      </c>
      <c r="J471" s="24" t="s">
        <v>3351</v>
      </c>
      <c r="K471" s="21" t="s">
        <v>3352</v>
      </c>
      <c r="L471" s="25" t="s">
        <v>3353</v>
      </c>
      <c r="M471" s="26" t="s">
        <v>28</v>
      </c>
      <c r="N471" s="24" t="s">
        <v>814</v>
      </c>
      <c r="O471" s="24" t="s">
        <v>840</v>
      </c>
      <c r="P471" s="27"/>
      <c r="Q471" s="27"/>
      <c r="R471" s="31" t="s">
        <v>3354</v>
      </c>
      <c r="S471" s="33" t="s">
        <v>3355</v>
      </c>
      <c r="T471" s="29" t="s">
        <v>3326</v>
      </c>
      <c r="U471" s="24"/>
    </row>
    <row r="472">
      <c r="A472" s="30">
        <v>7.290000135175E12</v>
      </c>
      <c r="B472" s="20" t="s">
        <v>3338</v>
      </c>
      <c r="C472" s="21">
        <v>0.057</v>
      </c>
      <c r="D472" s="21">
        <v>0.14</v>
      </c>
      <c r="E472" s="21">
        <v>0.057</v>
      </c>
      <c r="F472" s="22">
        <v>5.0</v>
      </c>
      <c r="G472" s="23"/>
      <c r="H472" s="24" t="s">
        <v>3325</v>
      </c>
      <c r="I472" s="21" t="s">
        <v>3326</v>
      </c>
      <c r="J472" s="24" t="s">
        <v>3339</v>
      </c>
      <c r="K472" s="21" t="s">
        <v>3340</v>
      </c>
      <c r="L472" s="25" t="s">
        <v>3341</v>
      </c>
      <c r="M472" s="26" t="s">
        <v>37</v>
      </c>
      <c r="N472" s="24" t="s">
        <v>814</v>
      </c>
      <c r="O472" s="24" t="s">
        <v>840</v>
      </c>
      <c r="P472" s="27"/>
      <c r="Q472" s="27"/>
      <c r="R472" s="31" t="s">
        <v>3342</v>
      </c>
      <c r="S472" s="33" t="s">
        <v>3343</v>
      </c>
      <c r="T472" s="29" t="e">
        <v>#N/A</v>
      </c>
      <c r="U472" s="24"/>
    </row>
    <row r="473">
      <c r="A473" s="30">
        <v>7.290008464406E12</v>
      </c>
      <c r="B473" s="20" t="s">
        <v>3356</v>
      </c>
      <c r="C473" s="21">
        <v>0.057</v>
      </c>
      <c r="D473" s="21">
        <v>0.14</v>
      </c>
      <c r="E473" s="21">
        <v>0.057</v>
      </c>
      <c r="F473" s="22">
        <v>5.0</v>
      </c>
      <c r="G473" s="23"/>
      <c r="H473" s="24" t="s">
        <v>3325</v>
      </c>
      <c r="I473" s="21" t="s">
        <v>3326</v>
      </c>
      <c r="J473" s="24" t="s">
        <v>3357</v>
      </c>
      <c r="K473" s="21" t="s">
        <v>3358</v>
      </c>
      <c r="L473" s="25" t="s">
        <v>3359</v>
      </c>
      <c r="M473" s="26" t="s">
        <v>37</v>
      </c>
      <c r="N473" s="24" t="s">
        <v>814</v>
      </c>
      <c r="O473" s="24" t="s">
        <v>840</v>
      </c>
      <c r="P473" s="27"/>
      <c r="Q473" s="27"/>
      <c r="R473" s="31" t="s">
        <v>3360</v>
      </c>
      <c r="S473" s="8" t="s">
        <v>3361</v>
      </c>
      <c r="T473" s="29" t="e">
        <v>#N/A</v>
      </c>
      <c r="U473" s="24"/>
    </row>
    <row r="474">
      <c r="A474" s="30">
        <v>7.290000433974E12</v>
      </c>
      <c r="B474" s="20" t="s">
        <v>3324</v>
      </c>
      <c r="C474" s="21">
        <v>0.08</v>
      </c>
      <c r="D474" s="21">
        <v>0.33</v>
      </c>
      <c r="E474" s="21">
        <v>0.08</v>
      </c>
      <c r="F474" s="22">
        <v>4.0</v>
      </c>
      <c r="G474" s="23"/>
      <c r="H474" s="24" t="s">
        <v>3325</v>
      </c>
      <c r="I474" s="21" t="s">
        <v>3326</v>
      </c>
      <c r="J474" s="24" t="s">
        <v>3327</v>
      </c>
      <c r="K474" s="21" t="s">
        <v>3328</v>
      </c>
      <c r="L474" s="25" t="s">
        <v>3329</v>
      </c>
      <c r="M474" s="26" t="s">
        <v>37</v>
      </c>
      <c r="N474" s="24" t="s">
        <v>814</v>
      </c>
      <c r="O474" s="24" t="s">
        <v>815</v>
      </c>
      <c r="P474" s="27"/>
      <c r="Q474" s="27"/>
      <c r="R474" s="31" t="s">
        <v>3330</v>
      </c>
      <c r="S474" s="33" t="s">
        <v>3331</v>
      </c>
      <c r="T474" s="29" t="e">
        <v>#N/A</v>
      </c>
      <c r="U474" s="24"/>
    </row>
    <row r="475">
      <c r="A475" s="30">
        <v>7.290000433684E12</v>
      </c>
      <c r="B475" s="20" t="s">
        <v>3344</v>
      </c>
      <c r="C475" s="21">
        <v>0.08</v>
      </c>
      <c r="D475" s="21">
        <v>0.33</v>
      </c>
      <c r="E475" s="21">
        <v>0.08</v>
      </c>
      <c r="F475" s="22">
        <v>4.0</v>
      </c>
      <c r="G475" s="23"/>
      <c r="H475" s="24" t="s">
        <v>3325</v>
      </c>
      <c r="I475" s="21" t="s">
        <v>3326</v>
      </c>
      <c r="J475" s="24" t="s">
        <v>3345</v>
      </c>
      <c r="K475" s="21" t="s">
        <v>3346</v>
      </c>
      <c r="L475" s="25" t="s">
        <v>3347</v>
      </c>
      <c r="M475" s="26" t="s">
        <v>37</v>
      </c>
      <c r="N475" s="24" t="s">
        <v>799</v>
      </c>
      <c r="O475" s="24" t="s">
        <v>815</v>
      </c>
      <c r="P475" s="27"/>
      <c r="Q475" s="27"/>
      <c r="R475" s="31" t="s">
        <v>3348</v>
      </c>
      <c r="S475" s="8" t="s">
        <v>3349</v>
      </c>
      <c r="T475" s="29" t="e">
        <v>#N/A</v>
      </c>
      <c r="U475" s="24"/>
    </row>
    <row r="476">
      <c r="A476" s="30">
        <v>7.290010237531E12</v>
      </c>
      <c r="B476" s="20" t="s">
        <v>3332</v>
      </c>
      <c r="C476" s="21">
        <v>0.065</v>
      </c>
      <c r="D476" s="21">
        <v>0.24</v>
      </c>
      <c r="E476" s="21">
        <v>0.065</v>
      </c>
      <c r="F476" s="22">
        <v>5.0</v>
      </c>
      <c r="G476" s="23"/>
      <c r="H476" s="24" t="s">
        <v>3325</v>
      </c>
      <c r="I476" s="21" t="s">
        <v>3326</v>
      </c>
      <c r="J476" s="24" t="s">
        <v>3333</v>
      </c>
      <c r="K476" s="21" t="s">
        <v>3334</v>
      </c>
      <c r="L476" s="25" t="s">
        <v>3335</v>
      </c>
      <c r="M476" s="26" t="s">
        <v>28</v>
      </c>
      <c r="N476" s="24" t="s">
        <v>799</v>
      </c>
      <c r="O476" s="24" t="s">
        <v>807</v>
      </c>
      <c r="P476" s="27"/>
      <c r="Q476" s="27"/>
      <c r="R476" s="28" t="s">
        <v>3336</v>
      </c>
      <c r="S476" s="8" t="s">
        <v>3337</v>
      </c>
      <c r="T476" s="29" t="s">
        <v>3326</v>
      </c>
      <c r="U476" s="24"/>
    </row>
    <row r="477">
      <c r="A477" s="30">
        <v>7.290014791879E12</v>
      </c>
      <c r="B477" s="20" t="s">
        <v>1512</v>
      </c>
      <c r="C477" s="21">
        <v>0.066</v>
      </c>
      <c r="D477" s="21">
        <v>0.202</v>
      </c>
      <c r="E477" s="21">
        <v>0.066</v>
      </c>
      <c r="F477" s="22">
        <v>5.0</v>
      </c>
      <c r="G477" s="23"/>
      <c r="H477" s="24" t="s">
        <v>1513</v>
      </c>
      <c r="I477" s="21" t="s">
        <v>1514</v>
      </c>
      <c r="J477" s="24" t="s">
        <v>1516</v>
      </c>
      <c r="K477" s="21" t="s">
        <v>1517</v>
      </c>
      <c r="L477" s="25" t="s">
        <v>1518</v>
      </c>
      <c r="M477" s="26" t="s">
        <v>28</v>
      </c>
      <c r="N477" s="24" t="s">
        <v>718</v>
      </c>
      <c r="O477" s="24" t="s">
        <v>719</v>
      </c>
      <c r="P477" s="27"/>
      <c r="Q477" s="27"/>
      <c r="R477" s="28" t="s">
        <v>1519</v>
      </c>
      <c r="S477" s="8" t="s">
        <v>1520</v>
      </c>
      <c r="T477" s="29" t="s">
        <v>1521</v>
      </c>
      <c r="U477" s="24"/>
    </row>
    <row r="478">
      <c r="A478" s="30">
        <v>7.290014791848E12</v>
      </c>
      <c r="B478" s="20" t="s">
        <v>1536</v>
      </c>
      <c r="C478" s="21">
        <v>0.066</v>
      </c>
      <c r="D478" s="21">
        <v>0.202</v>
      </c>
      <c r="E478" s="21">
        <v>0.066</v>
      </c>
      <c r="F478" s="22">
        <v>5.0</v>
      </c>
      <c r="G478" s="23"/>
      <c r="H478" s="24" t="s">
        <v>1513</v>
      </c>
      <c r="I478" s="21" t="s">
        <v>1514</v>
      </c>
      <c r="J478" s="24" t="s">
        <v>1537</v>
      </c>
      <c r="K478" s="21" t="s">
        <v>1538</v>
      </c>
      <c r="L478" s="25" t="s">
        <v>1539</v>
      </c>
      <c r="M478" s="26" t="s">
        <v>28</v>
      </c>
      <c r="N478" s="24" t="s">
        <v>718</v>
      </c>
      <c r="O478" s="24" t="s">
        <v>719</v>
      </c>
      <c r="P478" s="27"/>
      <c r="Q478" s="27"/>
      <c r="R478" s="28" t="s">
        <v>1540</v>
      </c>
      <c r="S478" s="8" t="s">
        <v>1541</v>
      </c>
      <c r="T478" s="29" t="s">
        <v>1521</v>
      </c>
      <c r="U478" s="24"/>
    </row>
    <row r="479">
      <c r="A479" s="30">
        <v>7.290014791817E12</v>
      </c>
      <c r="B479" s="20" t="s">
        <v>1522</v>
      </c>
      <c r="C479" s="21">
        <v>0.0955</v>
      </c>
      <c r="D479" s="21">
        <v>0.278</v>
      </c>
      <c r="E479" s="21">
        <v>0.0955</v>
      </c>
      <c r="F479" s="22">
        <v>3.0</v>
      </c>
      <c r="G479" s="23"/>
      <c r="H479" s="24" t="s">
        <v>1513</v>
      </c>
      <c r="I479" s="21" t="s">
        <v>1514</v>
      </c>
      <c r="J479" s="24" t="s">
        <v>1523</v>
      </c>
      <c r="K479" s="21" t="s">
        <v>1524</v>
      </c>
      <c r="L479" s="25" t="s">
        <v>1525</v>
      </c>
      <c r="M479" s="26" t="s">
        <v>28</v>
      </c>
      <c r="N479" s="24" t="s">
        <v>718</v>
      </c>
      <c r="O479" s="24" t="s">
        <v>1526</v>
      </c>
      <c r="P479" s="27"/>
      <c r="Q479" s="27"/>
      <c r="R479" s="31" t="s">
        <v>1527</v>
      </c>
      <c r="S479" s="33" t="s">
        <v>1528</v>
      </c>
      <c r="T479" s="29" t="s">
        <v>1529</v>
      </c>
      <c r="U479" s="24"/>
    </row>
    <row r="480">
      <c r="A480" s="30">
        <v>7.290014791787E12</v>
      </c>
      <c r="B480" s="20" t="s">
        <v>1542</v>
      </c>
      <c r="C480" s="21">
        <v>0.0955</v>
      </c>
      <c r="D480" s="21">
        <v>0.278</v>
      </c>
      <c r="E480" s="21">
        <v>0.0955</v>
      </c>
      <c r="F480" s="22">
        <v>3.0</v>
      </c>
      <c r="G480" s="23"/>
      <c r="H480" s="24" t="s">
        <v>1513</v>
      </c>
      <c r="I480" s="21" t="s">
        <v>1514</v>
      </c>
      <c r="J480" s="24" t="s">
        <v>1543</v>
      </c>
      <c r="K480" s="21" t="s">
        <v>1544</v>
      </c>
      <c r="L480" s="25" t="s">
        <v>1545</v>
      </c>
      <c r="M480" s="26" t="s">
        <v>28</v>
      </c>
      <c r="N480" s="24" t="s">
        <v>718</v>
      </c>
      <c r="O480" s="24" t="s">
        <v>1526</v>
      </c>
      <c r="P480" s="27"/>
      <c r="Q480" s="27"/>
      <c r="R480" s="31" t="s">
        <v>1546</v>
      </c>
      <c r="S480" s="33" t="s">
        <v>1547</v>
      </c>
      <c r="T480" s="29" t="s">
        <v>1529</v>
      </c>
      <c r="U480" s="24"/>
    </row>
    <row r="481">
      <c r="A481" s="30">
        <v>7.2900147918E12</v>
      </c>
      <c r="B481" s="20" t="s">
        <v>1530</v>
      </c>
      <c r="C481" s="21">
        <v>0.0955</v>
      </c>
      <c r="D481" s="21">
        <v>0.278</v>
      </c>
      <c r="E481" s="21">
        <v>0.0955</v>
      </c>
      <c r="F481" s="22">
        <v>3.0</v>
      </c>
      <c r="G481" s="23"/>
      <c r="H481" s="24" t="s">
        <v>1513</v>
      </c>
      <c r="I481" s="21" t="s">
        <v>1514</v>
      </c>
      <c r="J481" s="24" t="s">
        <v>1531</v>
      </c>
      <c r="K481" s="21" t="s">
        <v>1532</v>
      </c>
      <c r="L481" s="25" t="s">
        <v>1533</v>
      </c>
      <c r="M481" s="26" t="s">
        <v>28</v>
      </c>
      <c r="N481" s="24" t="s">
        <v>718</v>
      </c>
      <c r="O481" s="24" t="s">
        <v>1526</v>
      </c>
      <c r="P481" s="27"/>
      <c r="Q481" s="27"/>
      <c r="R481" s="31" t="s">
        <v>1534</v>
      </c>
      <c r="S481" s="33" t="s">
        <v>1535</v>
      </c>
      <c r="T481" s="29" t="s">
        <v>1529</v>
      </c>
      <c r="U481" s="24"/>
    </row>
    <row r="482">
      <c r="A482" s="30">
        <v>7.290017888644E12</v>
      </c>
      <c r="B482" s="20" t="s">
        <v>1559</v>
      </c>
      <c r="C482" s="21">
        <v>0.065</v>
      </c>
      <c r="D482" s="21">
        <v>0.153</v>
      </c>
      <c r="E482" s="21">
        <v>0.065</v>
      </c>
      <c r="F482" s="22">
        <v>5.0</v>
      </c>
      <c r="G482" s="23"/>
      <c r="H482" s="24" t="s">
        <v>1549</v>
      </c>
      <c r="I482" s="21" t="s">
        <v>1550</v>
      </c>
      <c r="J482" s="24" t="s">
        <v>1560</v>
      </c>
      <c r="K482" s="21" t="s">
        <v>1561</v>
      </c>
      <c r="L482" s="25" t="s">
        <v>1562</v>
      </c>
      <c r="M482" s="26" t="s">
        <v>28</v>
      </c>
      <c r="N482" s="24" t="s">
        <v>718</v>
      </c>
      <c r="O482" s="24" t="s">
        <v>719</v>
      </c>
      <c r="P482" s="27"/>
      <c r="Q482" s="27"/>
      <c r="R482" s="31" t="s">
        <v>1563</v>
      </c>
      <c r="S482" s="8" t="s">
        <v>1564</v>
      </c>
      <c r="T482" s="29" t="s">
        <v>1550</v>
      </c>
      <c r="U482" s="24"/>
    </row>
    <row r="483">
      <c r="A483" s="30">
        <v>7.290017888026E12</v>
      </c>
      <c r="B483" s="20" t="s">
        <v>1565</v>
      </c>
      <c r="C483" s="21">
        <v>0.065</v>
      </c>
      <c r="D483" s="21">
        <v>0.153</v>
      </c>
      <c r="E483" s="21">
        <v>0.065</v>
      </c>
      <c r="F483" s="22">
        <v>5.0</v>
      </c>
      <c r="G483" s="23"/>
      <c r="H483" s="24" t="s">
        <v>1549</v>
      </c>
      <c r="I483" s="21" t="s">
        <v>1550</v>
      </c>
      <c r="J483" s="24" t="s">
        <v>1566</v>
      </c>
      <c r="K483" s="21" t="s">
        <v>1567</v>
      </c>
      <c r="L483" s="25" t="s">
        <v>1568</v>
      </c>
      <c r="M483" s="26" t="s">
        <v>28</v>
      </c>
      <c r="N483" s="24" t="s">
        <v>1555</v>
      </c>
      <c r="O483" s="24" t="s">
        <v>1556</v>
      </c>
      <c r="P483" s="27"/>
      <c r="Q483" s="27"/>
      <c r="R483" s="28" t="s">
        <v>1569</v>
      </c>
      <c r="S483" s="33" t="s">
        <v>1570</v>
      </c>
      <c r="T483" s="29" t="s">
        <v>1550</v>
      </c>
      <c r="U483" s="24"/>
    </row>
    <row r="484">
      <c r="A484" s="30">
        <v>7.290017888033E12</v>
      </c>
      <c r="B484" s="20" t="s">
        <v>1548</v>
      </c>
      <c r="C484" s="21">
        <v>0.065</v>
      </c>
      <c r="D484" s="21">
        <v>0.153</v>
      </c>
      <c r="E484" s="21">
        <v>0.065</v>
      </c>
      <c r="F484" s="22">
        <v>5.0</v>
      </c>
      <c r="G484" s="23"/>
      <c r="H484" s="24" t="s">
        <v>1549</v>
      </c>
      <c r="I484" s="21" t="s">
        <v>1550</v>
      </c>
      <c r="J484" s="24" t="s">
        <v>1552</v>
      </c>
      <c r="K484" s="21" t="s">
        <v>1553</v>
      </c>
      <c r="L484" s="25" t="s">
        <v>1554</v>
      </c>
      <c r="M484" s="26" t="s">
        <v>28</v>
      </c>
      <c r="N484" s="24" t="s">
        <v>1555</v>
      </c>
      <c r="O484" s="24" t="s">
        <v>1556</v>
      </c>
      <c r="P484" s="27"/>
      <c r="Q484" s="27"/>
      <c r="R484" s="28" t="s">
        <v>1557</v>
      </c>
      <c r="S484" s="8" t="s">
        <v>1558</v>
      </c>
      <c r="T484" s="29" t="s">
        <v>1550</v>
      </c>
      <c r="U484" s="24"/>
    </row>
    <row r="485">
      <c r="A485" s="30">
        <v>7.290017888019E12</v>
      </c>
      <c r="B485" s="20" t="s">
        <v>1571</v>
      </c>
      <c r="C485" s="21">
        <v>0.065</v>
      </c>
      <c r="D485" s="21">
        <v>0.153</v>
      </c>
      <c r="E485" s="21">
        <v>0.065</v>
      </c>
      <c r="F485" s="22">
        <v>5.0</v>
      </c>
      <c r="G485" s="23"/>
      <c r="H485" s="24" t="s">
        <v>1549</v>
      </c>
      <c r="I485" s="21" t="s">
        <v>1550</v>
      </c>
      <c r="J485" s="24" t="s">
        <v>1572</v>
      </c>
      <c r="K485" s="21" t="s">
        <v>1573</v>
      </c>
      <c r="L485" s="25" t="s">
        <v>1574</v>
      </c>
      <c r="M485" s="26" t="s">
        <v>28</v>
      </c>
      <c r="N485" s="24" t="s">
        <v>1555</v>
      </c>
      <c r="O485" s="24" t="s">
        <v>1556</v>
      </c>
      <c r="P485" s="27"/>
      <c r="Q485" s="27"/>
      <c r="R485" s="28" t="s">
        <v>1575</v>
      </c>
      <c r="S485" s="8" t="s">
        <v>1576</v>
      </c>
      <c r="T485" s="29" t="s">
        <v>1550</v>
      </c>
      <c r="U485" s="24"/>
    </row>
    <row r="486">
      <c r="A486" s="30">
        <v>45917.0</v>
      </c>
      <c r="B486" s="20" t="s">
        <v>1501</v>
      </c>
      <c r="C486" s="21">
        <v>0.063</v>
      </c>
      <c r="D486" s="21">
        <v>0.15</v>
      </c>
      <c r="E486" s="21">
        <v>0.075</v>
      </c>
      <c r="F486" s="22">
        <v>4.0</v>
      </c>
      <c r="G486" s="23"/>
      <c r="H486" s="24" t="s">
        <v>1502</v>
      </c>
      <c r="I486" s="21" t="s">
        <v>1503</v>
      </c>
      <c r="J486" s="24" t="s">
        <v>1504</v>
      </c>
      <c r="K486" s="21" t="s">
        <v>1505</v>
      </c>
      <c r="L486" s="25" t="s">
        <v>1506</v>
      </c>
      <c r="M486" s="26" t="s">
        <v>28</v>
      </c>
      <c r="N486" s="24" t="s">
        <v>1507</v>
      </c>
      <c r="O486" s="24" t="s">
        <v>1508</v>
      </c>
      <c r="P486" s="27"/>
      <c r="Q486" s="27"/>
      <c r="R486" s="28" t="s">
        <v>1509</v>
      </c>
      <c r="S486" s="8" t="s">
        <v>1510</v>
      </c>
      <c r="T486" s="29" t="s">
        <v>1511</v>
      </c>
      <c r="U486" s="24"/>
    </row>
    <row r="487">
      <c r="A487" s="30">
        <v>7.290013585684E12</v>
      </c>
      <c r="B487" s="20" t="s">
        <v>3757</v>
      </c>
      <c r="C487" s="21">
        <v>0.07</v>
      </c>
      <c r="D487" s="21">
        <v>0.18</v>
      </c>
      <c r="E487" s="21">
        <v>0.07</v>
      </c>
      <c r="F487" s="22">
        <v>4.0</v>
      </c>
      <c r="G487" s="23"/>
      <c r="H487" s="24" t="s">
        <v>3726</v>
      </c>
      <c r="I487" s="21" t="s">
        <v>3727</v>
      </c>
      <c r="J487" s="24" t="s">
        <v>3758</v>
      </c>
      <c r="K487" s="21" t="s">
        <v>3759</v>
      </c>
      <c r="L487" s="25" t="s">
        <v>3760</v>
      </c>
      <c r="M487" s="26" t="s">
        <v>28</v>
      </c>
      <c r="N487" s="24" t="s">
        <v>3746</v>
      </c>
      <c r="O487" s="24" t="s">
        <v>3747</v>
      </c>
      <c r="P487" s="27"/>
      <c r="Q487" s="27"/>
      <c r="R487" s="28" t="s">
        <v>3761</v>
      </c>
      <c r="S487" s="8" t="s">
        <v>3762</v>
      </c>
      <c r="T487" s="29" t="s">
        <v>3750</v>
      </c>
      <c r="U487" s="24"/>
    </row>
    <row r="488">
      <c r="A488" s="30">
        <v>7.290013585653E12</v>
      </c>
      <c r="B488" s="20" t="s">
        <v>3751</v>
      </c>
      <c r="C488" s="21">
        <v>0.07</v>
      </c>
      <c r="D488" s="21">
        <v>0.18</v>
      </c>
      <c r="E488" s="21">
        <v>0.07</v>
      </c>
      <c r="F488" s="22">
        <v>4.0</v>
      </c>
      <c r="G488" s="23"/>
      <c r="H488" s="24" t="s">
        <v>3726</v>
      </c>
      <c r="I488" s="21" t="s">
        <v>3727</v>
      </c>
      <c r="J488" s="24" t="s">
        <v>3752</v>
      </c>
      <c r="K488" s="21" t="s">
        <v>3753</v>
      </c>
      <c r="L488" s="25" t="s">
        <v>3754</v>
      </c>
      <c r="M488" s="26" t="s">
        <v>28</v>
      </c>
      <c r="N488" s="24" t="s">
        <v>3746</v>
      </c>
      <c r="O488" s="24" t="s">
        <v>3747</v>
      </c>
      <c r="P488" s="27"/>
      <c r="Q488" s="27"/>
      <c r="R488" s="28" t="s">
        <v>3755</v>
      </c>
      <c r="S488" s="8" t="s">
        <v>3756</v>
      </c>
      <c r="T488" s="29" t="s">
        <v>3727</v>
      </c>
      <c r="U488" s="24"/>
    </row>
    <row r="489">
      <c r="A489" s="30">
        <v>7.290013585677E12</v>
      </c>
      <c r="B489" s="20" t="s">
        <v>3742</v>
      </c>
      <c r="C489" s="21">
        <v>0.07</v>
      </c>
      <c r="D489" s="21">
        <v>0.18</v>
      </c>
      <c r="E489" s="21">
        <v>0.07</v>
      </c>
      <c r="F489" s="22">
        <v>4.0</v>
      </c>
      <c r="G489" s="23"/>
      <c r="H489" s="24" t="s">
        <v>3726</v>
      </c>
      <c r="I489" s="21" t="s">
        <v>3727</v>
      </c>
      <c r="J489" s="24" t="s">
        <v>3743</v>
      </c>
      <c r="K489" s="21" t="s">
        <v>3744</v>
      </c>
      <c r="L489" s="25" t="s">
        <v>3745</v>
      </c>
      <c r="M489" s="26" t="s">
        <v>28</v>
      </c>
      <c r="N489" s="24" t="s">
        <v>3746</v>
      </c>
      <c r="O489" s="24" t="s">
        <v>3747</v>
      </c>
      <c r="P489" s="27"/>
      <c r="Q489" s="27"/>
      <c r="R489" s="28" t="s">
        <v>3748</v>
      </c>
      <c r="S489" s="8" t="s">
        <v>3749</v>
      </c>
      <c r="T489" s="29" t="s">
        <v>3750</v>
      </c>
      <c r="U489" s="24"/>
    </row>
    <row r="490">
      <c r="A490" s="30">
        <v>7.290011015374E12</v>
      </c>
      <c r="B490" s="20" t="s">
        <v>3769</v>
      </c>
      <c r="C490" s="21">
        <v>0.07</v>
      </c>
      <c r="D490" s="21">
        <v>0.19</v>
      </c>
      <c r="E490" s="21">
        <v>0.053</v>
      </c>
      <c r="F490" s="22">
        <v>6.0</v>
      </c>
      <c r="G490" s="23"/>
      <c r="H490" s="24" t="s">
        <v>3726</v>
      </c>
      <c r="I490" s="21" t="s">
        <v>3727</v>
      </c>
      <c r="J490" s="24" t="s">
        <v>3770</v>
      </c>
      <c r="K490" s="21" t="s">
        <v>3771</v>
      </c>
      <c r="L490" s="25" t="s">
        <v>3772</v>
      </c>
      <c r="M490" s="26" t="s">
        <v>28</v>
      </c>
      <c r="N490" s="24" t="s">
        <v>3738</v>
      </c>
      <c r="O490" s="24" t="s">
        <v>3739</v>
      </c>
      <c r="P490" s="27"/>
      <c r="Q490" s="27"/>
      <c r="R490" s="31" t="s">
        <v>3773</v>
      </c>
      <c r="S490" s="8" t="s">
        <v>3774</v>
      </c>
      <c r="T490" s="29" t="s">
        <v>3727</v>
      </c>
      <c r="U490" s="24"/>
    </row>
    <row r="491">
      <c r="A491" s="30">
        <v>7.290000377612E12</v>
      </c>
      <c r="B491" s="20" t="s">
        <v>3763</v>
      </c>
      <c r="C491" s="21">
        <v>0.07</v>
      </c>
      <c r="D491" s="21">
        <v>0.19</v>
      </c>
      <c r="E491" s="21">
        <v>0.053</v>
      </c>
      <c r="F491" s="22">
        <v>6.0</v>
      </c>
      <c r="G491" s="23"/>
      <c r="H491" s="24" t="s">
        <v>3726</v>
      </c>
      <c r="I491" s="21" t="s">
        <v>3727</v>
      </c>
      <c r="J491" s="24" t="s">
        <v>3764</v>
      </c>
      <c r="K491" s="21" t="s">
        <v>3765</v>
      </c>
      <c r="L491" s="25" t="s">
        <v>3766</v>
      </c>
      <c r="M491" s="26" t="s">
        <v>37</v>
      </c>
      <c r="N491" s="24" t="s">
        <v>3738</v>
      </c>
      <c r="O491" s="24" t="s">
        <v>3739</v>
      </c>
      <c r="P491" s="27"/>
      <c r="Q491" s="27"/>
      <c r="R491" s="28" t="s">
        <v>3767</v>
      </c>
      <c r="S491" s="8" t="s">
        <v>3768</v>
      </c>
      <c r="T491" s="29" t="e">
        <v>#N/A</v>
      </c>
      <c r="U491" s="24"/>
    </row>
    <row r="492">
      <c r="A492" s="30">
        <v>7.290013153432E12</v>
      </c>
      <c r="B492" s="20" t="s">
        <v>3734</v>
      </c>
      <c r="C492" s="21">
        <v>0.07</v>
      </c>
      <c r="D492" s="21">
        <v>0.19</v>
      </c>
      <c r="E492" s="21">
        <v>0.053</v>
      </c>
      <c r="F492" s="22">
        <v>6.0</v>
      </c>
      <c r="G492" s="23"/>
      <c r="H492" s="24" t="s">
        <v>3726</v>
      </c>
      <c r="I492" s="21" t="s">
        <v>3727</v>
      </c>
      <c r="J492" s="24" t="s">
        <v>3735</v>
      </c>
      <c r="K492" s="21" t="s">
        <v>3736</v>
      </c>
      <c r="L492" s="25" t="s">
        <v>3737</v>
      </c>
      <c r="M492" s="26" t="s">
        <v>28</v>
      </c>
      <c r="N492" s="24" t="s">
        <v>3738</v>
      </c>
      <c r="O492" s="24" t="s">
        <v>3739</v>
      </c>
      <c r="P492" s="27"/>
      <c r="Q492" s="27"/>
      <c r="R492" s="28" t="s">
        <v>3740</v>
      </c>
      <c r="S492" s="8" t="s">
        <v>3741</v>
      </c>
      <c r="T492" s="29" t="s">
        <v>3727</v>
      </c>
      <c r="U492" s="24"/>
    </row>
    <row r="493">
      <c r="A493" s="30">
        <v>7.290001594384E12</v>
      </c>
      <c r="B493" s="20" t="s">
        <v>3793</v>
      </c>
      <c r="C493" s="21">
        <v>0.06</v>
      </c>
      <c r="D493" s="21">
        <v>0.193</v>
      </c>
      <c r="E493" s="21">
        <v>0.06</v>
      </c>
      <c r="F493" s="22">
        <v>5.0</v>
      </c>
      <c r="G493" s="23"/>
      <c r="H493" s="24" t="s">
        <v>3726</v>
      </c>
      <c r="I493" s="21" t="s">
        <v>3727</v>
      </c>
      <c r="J493" s="24" t="s">
        <v>3794</v>
      </c>
      <c r="K493" s="21" t="s">
        <v>3795</v>
      </c>
      <c r="L493" s="25" t="s">
        <v>3796</v>
      </c>
      <c r="M493" s="26" t="s">
        <v>37</v>
      </c>
      <c r="N493" s="24" t="s">
        <v>718</v>
      </c>
      <c r="O493" s="24" t="s">
        <v>719</v>
      </c>
      <c r="P493" s="27"/>
      <c r="Q493" s="27"/>
      <c r="R493" s="28" t="s">
        <v>3797</v>
      </c>
      <c r="S493" s="8" t="s">
        <v>3798</v>
      </c>
      <c r="T493" s="29" t="e">
        <v>#N/A</v>
      </c>
      <c r="U493" s="24"/>
    </row>
    <row r="494">
      <c r="A494" s="30">
        <v>7.290110110475E12</v>
      </c>
      <c r="B494" s="20" t="s">
        <v>3817</v>
      </c>
      <c r="C494" s="21">
        <v>0.06</v>
      </c>
      <c r="D494" s="21">
        <v>0.193</v>
      </c>
      <c r="E494" s="21">
        <v>0.06</v>
      </c>
      <c r="F494" s="22">
        <v>5.0</v>
      </c>
      <c r="G494" s="23"/>
      <c r="H494" s="24" t="s">
        <v>3726</v>
      </c>
      <c r="I494" s="21" t="s">
        <v>3727</v>
      </c>
      <c r="J494" s="24" t="s">
        <v>3818</v>
      </c>
      <c r="K494" s="21" t="s">
        <v>3819</v>
      </c>
      <c r="L494" s="25" t="s">
        <v>3820</v>
      </c>
      <c r="M494" s="26" t="s">
        <v>28</v>
      </c>
      <c r="N494" s="24" t="s">
        <v>718</v>
      </c>
      <c r="O494" s="24" t="s">
        <v>719</v>
      </c>
      <c r="P494" s="27"/>
      <c r="Q494" s="27"/>
      <c r="R494" s="28" t="s">
        <v>3821</v>
      </c>
      <c r="S494" s="8" t="s">
        <v>3822</v>
      </c>
      <c r="T494" s="29" t="s">
        <v>3727</v>
      </c>
      <c r="U494" s="24"/>
    </row>
    <row r="495">
      <c r="A495" s="30">
        <v>7.290110110468E12</v>
      </c>
      <c r="B495" s="20" t="s">
        <v>3811</v>
      </c>
      <c r="C495" s="21">
        <v>0.06</v>
      </c>
      <c r="D495" s="21">
        <v>0.193</v>
      </c>
      <c r="E495" s="21">
        <v>0.06</v>
      </c>
      <c r="F495" s="22">
        <v>5.0</v>
      </c>
      <c r="G495" s="23"/>
      <c r="H495" s="24" t="s">
        <v>3726</v>
      </c>
      <c r="I495" s="21" t="s">
        <v>3727</v>
      </c>
      <c r="J495" s="24" t="s">
        <v>3812</v>
      </c>
      <c r="K495" s="21" t="s">
        <v>3813</v>
      </c>
      <c r="L495" s="25" t="s">
        <v>3814</v>
      </c>
      <c r="M495" s="26" t="s">
        <v>28</v>
      </c>
      <c r="N495" s="24" t="s">
        <v>718</v>
      </c>
      <c r="O495" s="24" t="s">
        <v>719</v>
      </c>
      <c r="P495" s="27"/>
      <c r="Q495" s="27"/>
      <c r="R495" s="28" t="s">
        <v>3815</v>
      </c>
      <c r="S495" s="8" t="s">
        <v>3816</v>
      </c>
      <c r="T495" s="29" t="s">
        <v>3727</v>
      </c>
      <c r="U495" s="24"/>
    </row>
    <row r="496">
      <c r="A496" s="30">
        <v>7.290001594377E12</v>
      </c>
      <c r="B496" s="20" t="s">
        <v>3823</v>
      </c>
      <c r="C496" s="21">
        <v>0.06</v>
      </c>
      <c r="D496" s="21">
        <v>0.193</v>
      </c>
      <c r="E496" s="21">
        <v>0.06</v>
      </c>
      <c r="F496" s="22">
        <v>5.0</v>
      </c>
      <c r="G496" s="23"/>
      <c r="H496" s="24" t="s">
        <v>3726</v>
      </c>
      <c r="I496" s="21" t="s">
        <v>3727</v>
      </c>
      <c r="J496" s="24" t="s">
        <v>3824</v>
      </c>
      <c r="K496" s="21" t="s">
        <v>3825</v>
      </c>
      <c r="L496" s="25" t="s">
        <v>3826</v>
      </c>
      <c r="M496" s="26" t="s">
        <v>37</v>
      </c>
      <c r="N496" s="24" t="s">
        <v>718</v>
      </c>
      <c r="O496" s="24" t="s">
        <v>719</v>
      </c>
      <c r="P496" s="27"/>
      <c r="Q496" s="27"/>
      <c r="R496" s="28" t="s">
        <v>3827</v>
      </c>
      <c r="S496" s="8" t="s">
        <v>3828</v>
      </c>
      <c r="T496" s="29" t="e">
        <v>#N/A</v>
      </c>
      <c r="U496" s="24"/>
    </row>
    <row r="497">
      <c r="A497" s="30">
        <v>7.290002871477E12</v>
      </c>
      <c r="B497" s="20" t="s">
        <v>3787</v>
      </c>
      <c r="C497" s="21">
        <v>0.08</v>
      </c>
      <c r="D497" s="21">
        <v>0.3</v>
      </c>
      <c r="E497" s="21">
        <v>0.08</v>
      </c>
      <c r="F497" s="22">
        <v>4.0</v>
      </c>
      <c r="G497" s="23"/>
      <c r="H497" s="24" t="s">
        <v>3726</v>
      </c>
      <c r="I497" s="21" t="s">
        <v>3727</v>
      </c>
      <c r="J497" s="24" t="s">
        <v>3788</v>
      </c>
      <c r="K497" s="21" t="s">
        <v>3789</v>
      </c>
      <c r="L497" s="25" t="s">
        <v>3790</v>
      </c>
      <c r="M497" s="26" t="s">
        <v>37</v>
      </c>
      <c r="N497" s="24" t="s">
        <v>718</v>
      </c>
      <c r="O497" s="24" t="s">
        <v>1526</v>
      </c>
      <c r="P497" s="27"/>
      <c r="Q497" s="27"/>
      <c r="R497" s="31" t="s">
        <v>3791</v>
      </c>
      <c r="S497" s="33" t="s">
        <v>3792</v>
      </c>
      <c r="T497" s="29" t="e">
        <v>#N/A</v>
      </c>
      <c r="U497" s="24"/>
    </row>
    <row r="498">
      <c r="A498" s="30">
        <v>7.290005604133E12</v>
      </c>
      <c r="B498" s="20" t="s">
        <v>3799</v>
      </c>
      <c r="C498" s="21">
        <v>0.08</v>
      </c>
      <c r="D498" s="21">
        <v>0.3</v>
      </c>
      <c r="E498" s="21">
        <v>0.08</v>
      </c>
      <c r="F498" s="22">
        <v>4.0</v>
      </c>
      <c r="G498" s="23"/>
      <c r="H498" s="24" t="s">
        <v>3726</v>
      </c>
      <c r="I498" s="21" t="s">
        <v>3727</v>
      </c>
      <c r="J498" s="24" t="s">
        <v>3800</v>
      </c>
      <c r="K498" s="21" t="s">
        <v>3801</v>
      </c>
      <c r="L498" s="25" t="s">
        <v>3802</v>
      </c>
      <c r="M498" s="26" t="s">
        <v>37</v>
      </c>
      <c r="N498" s="24" t="s">
        <v>718</v>
      </c>
      <c r="O498" s="24" t="s">
        <v>1526</v>
      </c>
      <c r="P498" s="27"/>
      <c r="Q498" s="27"/>
      <c r="R498" s="31" t="s">
        <v>3803</v>
      </c>
      <c r="S498" s="33" t="s">
        <v>3804</v>
      </c>
      <c r="T498" s="29" t="e">
        <v>#N/A</v>
      </c>
      <c r="U498" s="24"/>
    </row>
    <row r="499">
      <c r="A499" s="30">
        <v>7.290002871446E12</v>
      </c>
      <c r="B499" s="20" t="s">
        <v>3775</v>
      </c>
      <c r="C499" s="21">
        <v>0.08</v>
      </c>
      <c r="D499" s="21">
        <v>0.3</v>
      </c>
      <c r="E499" s="21">
        <v>0.08</v>
      </c>
      <c r="F499" s="22">
        <v>4.0</v>
      </c>
      <c r="G499" s="23"/>
      <c r="H499" s="24" t="s">
        <v>3726</v>
      </c>
      <c r="I499" s="21" t="s">
        <v>3727</v>
      </c>
      <c r="J499" s="24" t="s">
        <v>3776</v>
      </c>
      <c r="K499" s="21" t="s">
        <v>3777</v>
      </c>
      <c r="L499" s="25" t="s">
        <v>3778</v>
      </c>
      <c r="M499" s="26" t="s">
        <v>37</v>
      </c>
      <c r="N499" s="24" t="s">
        <v>718</v>
      </c>
      <c r="O499" s="24" t="s">
        <v>1526</v>
      </c>
      <c r="P499" s="27"/>
      <c r="Q499" s="27"/>
      <c r="R499" s="31" t="s">
        <v>3779</v>
      </c>
      <c r="S499" s="33" t="s">
        <v>3780</v>
      </c>
      <c r="T499" s="29" t="e">
        <v>#N/A</v>
      </c>
      <c r="U499" s="24"/>
    </row>
    <row r="500">
      <c r="A500" s="30">
        <v>7.290003667369E12</v>
      </c>
      <c r="B500" s="20" t="s">
        <v>3829</v>
      </c>
      <c r="C500" s="21">
        <v>0.08</v>
      </c>
      <c r="D500" s="21">
        <v>0.3</v>
      </c>
      <c r="E500" s="21">
        <v>0.08</v>
      </c>
      <c r="F500" s="22">
        <v>4.0</v>
      </c>
      <c r="G500" s="23"/>
      <c r="H500" s="24" t="s">
        <v>3726</v>
      </c>
      <c r="I500" s="21" t="s">
        <v>3727</v>
      </c>
      <c r="J500" s="24" t="s">
        <v>3830</v>
      </c>
      <c r="K500" s="21" t="s">
        <v>3831</v>
      </c>
      <c r="L500" s="25" t="s">
        <v>3832</v>
      </c>
      <c r="M500" s="26" t="s">
        <v>37</v>
      </c>
      <c r="N500" s="24" t="s">
        <v>718</v>
      </c>
      <c r="O500" s="24" t="s">
        <v>1526</v>
      </c>
      <c r="P500" s="27"/>
      <c r="Q500" s="27"/>
      <c r="R500" s="31" t="s">
        <v>3833</v>
      </c>
      <c r="S500" s="33" t="s">
        <v>3834</v>
      </c>
      <c r="T500" s="29" t="e">
        <v>#N/A</v>
      </c>
      <c r="U500" s="24"/>
    </row>
    <row r="501">
      <c r="A501" s="30">
        <v>7.29000287146E12</v>
      </c>
      <c r="B501" s="20" t="s">
        <v>3805</v>
      </c>
      <c r="C501" s="21">
        <v>0.08</v>
      </c>
      <c r="D501" s="21">
        <v>0.3</v>
      </c>
      <c r="E501" s="21">
        <v>0.08</v>
      </c>
      <c r="F501" s="22">
        <v>4.0</v>
      </c>
      <c r="G501" s="23"/>
      <c r="H501" s="24" t="s">
        <v>3726</v>
      </c>
      <c r="I501" s="21" t="s">
        <v>3727</v>
      </c>
      <c r="J501" s="24" t="s">
        <v>3806</v>
      </c>
      <c r="K501" s="21" t="s">
        <v>3807</v>
      </c>
      <c r="L501" s="25" t="s">
        <v>3808</v>
      </c>
      <c r="M501" s="26" t="s">
        <v>37</v>
      </c>
      <c r="N501" s="24" t="s">
        <v>718</v>
      </c>
      <c r="O501" s="24" t="s">
        <v>1526</v>
      </c>
      <c r="P501" s="27"/>
      <c r="Q501" s="27"/>
      <c r="R501" s="31" t="s">
        <v>3809</v>
      </c>
      <c r="S501" s="33" t="s">
        <v>3810</v>
      </c>
      <c r="T501" s="29" t="e">
        <v>#N/A</v>
      </c>
      <c r="U501" s="24"/>
    </row>
    <row r="502">
      <c r="A502" s="30">
        <v>7.290004423353E12</v>
      </c>
      <c r="B502" s="20" t="s">
        <v>3725</v>
      </c>
      <c r="C502" s="21">
        <v>0.08</v>
      </c>
      <c r="D502" s="21">
        <v>0.3</v>
      </c>
      <c r="E502" s="21">
        <v>0.08</v>
      </c>
      <c r="F502" s="22">
        <v>4.0</v>
      </c>
      <c r="G502" s="23"/>
      <c r="H502" s="24" t="s">
        <v>3726</v>
      </c>
      <c r="I502" s="21" t="s">
        <v>3727</v>
      </c>
      <c r="J502" s="24" t="s">
        <v>3729</v>
      </c>
      <c r="K502" s="21" t="s">
        <v>3730</v>
      </c>
      <c r="L502" s="25" t="s">
        <v>3731</v>
      </c>
      <c r="M502" s="26" t="s">
        <v>37</v>
      </c>
      <c r="N502" s="24" t="s">
        <v>718</v>
      </c>
      <c r="O502" s="24" t="s">
        <v>1526</v>
      </c>
      <c r="P502" s="27"/>
      <c r="Q502" s="27"/>
      <c r="R502" s="31" t="s">
        <v>3732</v>
      </c>
      <c r="S502" s="33" t="s">
        <v>3733</v>
      </c>
      <c r="T502" s="29" t="e">
        <v>#N/A</v>
      </c>
      <c r="U502" s="24"/>
    </row>
    <row r="503">
      <c r="A503" s="30">
        <v>7.290001594391E12</v>
      </c>
      <c r="B503" s="20" t="s">
        <v>3781</v>
      </c>
      <c r="C503" s="21">
        <v>0.06</v>
      </c>
      <c r="D503" s="21">
        <v>0.193</v>
      </c>
      <c r="E503" s="21">
        <v>0.06</v>
      </c>
      <c r="F503" s="22">
        <v>5.0</v>
      </c>
      <c r="G503" s="23"/>
      <c r="H503" s="24" t="s">
        <v>3726</v>
      </c>
      <c r="I503" s="21" t="s">
        <v>3727</v>
      </c>
      <c r="J503" s="24" t="s">
        <v>3782</v>
      </c>
      <c r="K503" s="21" t="s">
        <v>3783</v>
      </c>
      <c r="L503" s="25" t="s">
        <v>3784</v>
      </c>
      <c r="M503" s="26" t="s">
        <v>37</v>
      </c>
      <c r="N503" s="24" t="s">
        <v>2364</v>
      </c>
      <c r="O503" s="24" t="s">
        <v>3164</v>
      </c>
      <c r="P503" s="27"/>
      <c r="Q503" s="27"/>
      <c r="R503" s="31" t="s">
        <v>3785</v>
      </c>
      <c r="S503" s="33" t="s">
        <v>3786</v>
      </c>
      <c r="T503" s="29" t="e">
        <v>#N/A</v>
      </c>
      <c r="U503" s="24"/>
    </row>
    <row r="504">
      <c r="A504" s="30">
        <v>7.616500647251E12</v>
      </c>
      <c r="B504" s="20" t="s">
        <v>5229</v>
      </c>
      <c r="C504" s="21">
        <v>0.093</v>
      </c>
      <c r="D504" s="21">
        <v>0.175</v>
      </c>
      <c r="E504" s="21">
        <v>0.015</v>
      </c>
      <c r="F504" s="22">
        <v>20.0</v>
      </c>
      <c r="G504" s="23"/>
      <c r="H504" s="24" t="s">
        <v>1472</v>
      </c>
      <c r="I504" s="21" t="s">
        <v>5230</v>
      </c>
      <c r="J504" s="24" t="s">
        <v>1489</v>
      </c>
      <c r="K504" s="21" t="s">
        <v>1490</v>
      </c>
      <c r="L504" s="25" t="s">
        <v>1491</v>
      </c>
      <c r="M504" s="26" t="s">
        <v>28</v>
      </c>
      <c r="N504" s="24" t="s">
        <v>626</v>
      </c>
      <c r="O504" s="24" t="s">
        <v>627</v>
      </c>
      <c r="P504" s="27"/>
      <c r="Q504" s="27"/>
      <c r="R504" s="28" t="s">
        <v>1492</v>
      </c>
      <c r="S504" s="8" t="s">
        <v>1493</v>
      </c>
      <c r="T504" s="29" t="s">
        <v>1479</v>
      </c>
      <c r="U504" s="24"/>
    </row>
    <row r="505">
      <c r="A505" s="30">
        <v>7.616500646087E12</v>
      </c>
      <c r="B505" s="20" t="s">
        <v>5231</v>
      </c>
      <c r="C505" s="21">
        <v>0.097</v>
      </c>
      <c r="D505" s="21">
        <v>0.18</v>
      </c>
      <c r="E505" s="21">
        <v>0.008</v>
      </c>
      <c r="F505" s="22">
        <v>38.0</v>
      </c>
      <c r="G505" s="23"/>
      <c r="H505" s="24" t="s">
        <v>1472</v>
      </c>
      <c r="I505" s="21" t="s">
        <v>5230</v>
      </c>
      <c r="J505" s="24" t="s">
        <v>1474</v>
      </c>
      <c r="K505" s="21" t="s">
        <v>1475</v>
      </c>
      <c r="L505" s="25" t="s">
        <v>1476</v>
      </c>
      <c r="M505" s="26" t="s">
        <v>28</v>
      </c>
      <c r="N505" s="24" t="s">
        <v>626</v>
      </c>
      <c r="O505" s="24" t="s">
        <v>649</v>
      </c>
      <c r="P505" s="27"/>
      <c r="Q505" s="27"/>
      <c r="R505" s="28" t="s">
        <v>1477</v>
      </c>
      <c r="S505" s="8" t="s">
        <v>1478</v>
      </c>
      <c r="T505" s="29" t="s">
        <v>1479</v>
      </c>
      <c r="U505" s="24"/>
    </row>
    <row r="506">
      <c r="A506" s="30">
        <v>7.616500553484E12</v>
      </c>
      <c r="B506" s="20" t="s">
        <v>5232</v>
      </c>
      <c r="C506" s="21">
        <v>0.097</v>
      </c>
      <c r="D506" s="21">
        <v>0.18</v>
      </c>
      <c r="E506" s="21">
        <v>0.008</v>
      </c>
      <c r="F506" s="22">
        <v>38.0</v>
      </c>
      <c r="G506" s="23"/>
      <c r="H506" s="24" t="s">
        <v>1472</v>
      </c>
      <c r="I506" s="21" t="s">
        <v>5230</v>
      </c>
      <c r="J506" s="24" t="s">
        <v>1481</v>
      </c>
      <c r="K506" s="21" t="s">
        <v>1482</v>
      </c>
      <c r="L506" s="25" t="s">
        <v>1483</v>
      </c>
      <c r="M506" s="26" t="s">
        <v>28</v>
      </c>
      <c r="N506" s="24" t="s">
        <v>1484</v>
      </c>
      <c r="O506" s="24" t="s">
        <v>1485</v>
      </c>
      <c r="P506" s="27"/>
      <c r="Q506" s="27"/>
      <c r="R506" s="28" t="s">
        <v>1486</v>
      </c>
      <c r="S506" s="8" t="s">
        <v>1487</v>
      </c>
      <c r="T506" s="29" t="s">
        <v>1479</v>
      </c>
      <c r="U506" s="24"/>
    </row>
    <row r="507">
      <c r="A507" s="30">
        <v>7.61650055346E12</v>
      </c>
      <c r="B507" s="20" t="s">
        <v>5233</v>
      </c>
      <c r="C507" s="21">
        <v>0.097</v>
      </c>
      <c r="D507" s="21">
        <v>0.18</v>
      </c>
      <c r="E507" s="21">
        <v>0.008</v>
      </c>
      <c r="F507" s="22">
        <v>38.0</v>
      </c>
      <c r="G507" s="23"/>
      <c r="H507" s="24" t="s">
        <v>1472</v>
      </c>
      <c r="I507" s="21" t="s">
        <v>5230</v>
      </c>
      <c r="J507" s="24" t="s">
        <v>1495</v>
      </c>
      <c r="K507" s="21" t="s">
        <v>1496</v>
      </c>
      <c r="L507" s="25" t="s">
        <v>1497</v>
      </c>
      <c r="M507" s="26" t="s">
        <v>28</v>
      </c>
      <c r="N507" s="24" t="s">
        <v>1484</v>
      </c>
      <c r="O507" s="24" t="s">
        <v>1498</v>
      </c>
      <c r="P507" s="27"/>
      <c r="Q507" s="27"/>
      <c r="R507" s="28" t="s">
        <v>1499</v>
      </c>
      <c r="S507" s="8" t="s">
        <v>1500</v>
      </c>
      <c r="T507" s="29" t="s">
        <v>1479</v>
      </c>
      <c r="U507" s="24"/>
    </row>
    <row r="508">
      <c r="A508" s="30">
        <v>3.179730011024E12</v>
      </c>
      <c r="B508" s="20" t="s">
        <v>3372</v>
      </c>
      <c r="C508" s="21">
        <v>0.057</v>
      </c>
      <c r="D508" s="21">
        <v>0.14</v>
      </c>
      <c r="E508" s="21">
        <v>0.057</v>
      </c>
      <c r="F508" s="22">
        <v>5.0</v>
      </c>
      <c r="G508" s="23"/>
      <c r="H508" s="24" t="s">
        <v>3363</v>
      </c>
      <c r="I508" s="21" t="s">
        <v>3364</v>
      </c>
      <c r="J508" s="24" t="s">
        <v>3373</v>
      </c>
      <c r="K508" s="21" t="s">
        <v>3374</v>
      </c>
      <c r="L508" s="25" t="s">
        <v>3375</v>
      </c>
      <c r="M508" s="26" t="s">
        <v>37</v>
      </c>
      <c r="N508" s="24" t="s">
        <v>1385</v>
      </c>
      <c r="O508" s="24" t="s">
        <v>1386</v>
      </c>
      <c r="P508" s="27"/>
      <c r="Q508" s="27"/>
      <c r="R508" s="28" t="s">
        <v>3376</v>
      </c>
      <c r="S508" s="8" t="s">
        <v>3377</v>
      </c>
      <c r="T508" s="29" t="e">
        <v>#N/A</v>
      </c>
      <c r="U508" s="24"/>
    </row>
    <row r="509">
      <c r="A509" s="30">
        <v>7.613036280327E12</v>
      </c>
      <c r="B509" s="20" t="s">
        <v>3362</v>
      </c>
      <c r="C509" s="21">
        <v>0.05</v>
      </c>
      <c r="D509" s="21">
        <v>0.135</v>
      </c>
      <c r="E509" s="21">
        <v>0.05</v>
      </c>
      <c r="F509" s="22">
        <v>6.0</v>
      </c>
      <c r="G509" s="23"/>
      <c r="H509" s="24" t="s">
        <v>3363</v>
      </c>
      <c r="I509" s="21" t="s">
        <v>3364</v>
      </c>
      <c r="J509" s="24" t="s">
        <v>3366</v>
      </c>
      <c r="K509" s="21" t="s">
        <v>3367</v>
      </c>
      <c r="L509" s="25" t="s">
        <v>3368</v>
      </c>
      <c r="M509" s="26" t="s">
        <v>28</v>
      </c>
      <c r="N509" s="24" t="s">
        <v>1351</v>
      </c>
      <c r="O509" s="24" t="s">
        <v>1359</v>
      </c>
      <c r="P509" s="27"/>
      <c r="Q509" s="27"/>
      <c r="R509" s="28" t="s">
        <v>3369</v>
      </c>
      <c r="S509" s="8" t="s">
        <v>3370</v>
      </c>
      <c r="T509" s="29" t="s">
        <v>3371</v>
      </c>
      <c r="U509" s="24"/>
    </row>
    <row r="510">
      <c r="A510" s="30">
        <v>7.613036286008E12</v>
      </c>
      <c r="B510" s="20" t="s">
        <v>3378</v>
      </c>
      <c r="C510" s="21">
        <v>0.05</v>
      </c>
      <c r="D510" s="21">
        <v>0.135</v>
      </c>
      <c r="E510" s="21">
        <v>0.05</v>
      </c>
      <c r="F510" s="22">
        <v>6.0</v>
      </c>
      <c r="G510" s="23"/>
      <c r="H510" s="24" t="s">
        <v>3363</v>
      </c>
      <c r="I510" s="21" t="s">
        <v>3364</v>
      </c>
      <c r="J510" s="24" t="s">
        <v>3379</v>
      </c>
      <c r="K510" s="21" t="s">
        <v>3380</v>
      </c>
      <c r="L510" s="25" t="s">
        <v>3381</v>
      </c>
      <c r="M510" s="26" t="s">
        <v>28</v>
      </c>
      <c r="N510" s="24" t="s">
        <v>1351</v>
      </c>
      <c r="O510" s="24" t="s">
        <v>1359</v>
      </c>
      <c r="P510" s="27"/>
      <c r="Q510" s="27"/>
      <c r="R510" s="28" t="s">
        <v>3382</v>
      </c>
      <c r="S510" s="8" t="s">
        <v>3383</v>
      </c>
      <c r="T510" s="29" t="s">
        <v>3371</v>
      </c>
      <c r="U510" s="24"/>
    </row>
    <row r="511">
      <c r="A511" s="30">
        <v>7.290006984647E12</v>
      </c>
      <c r="B511" s="20" t="s">
        <v>5234</v>
      </c>
      <c r="C511" s="21">
        <v>0.14</v>
      </c>
      <c r="D511" s="21">
        <v>0.22</v>
      </c>
      <c r="E511" s="21">
        <v>0.05</v>
      </c>
      <c r="F511" s="22">
        <v>6.0</v>
      </c>
      <c r="G511" s="23"/>
      <c r="H511" s="24" t="s">
        <v>5235</v>
      </c>
      <c r="I511" s="21" t="s">
        <v>3617</v>
      </c>
      <c r="J511" s="24" t="s">
        <v>3692</v>
      </c>
      <c r="K511" s="21" t="s">
        <v>3693</v>
      </c>
      <c r="L511" s="25" t="s">
        <v>3694</v>
      </c>
      <c r="M511" s="26" t="s">
        <v>37</v>
      </c>
      <c r="N511" s="24" t="s">
        <v>954</v>
      </c>
      <c r="O511" s="24" t="s">
        <v>1303</v>
      </c>
      <c r="P511" s="27"/>
      <c r="Q511" s="27"/>
      <c r="R511" s="28" t="s">
        <v>3695</v>
      </c>
      <c r="S511" s="8" t="s">
        <v>3696</v>
      </c>
      <c r="T511" s="29" t="e">
        <v>#N/A</v>
      </c>
      <c r="U511" s="24"/>
    </row>
    <row r="512">
      <c r="A512" s="30">
        <v>7.290000078762E12</v>
      </c>
      <c r="B512" s="20" t="s">
        <v>5236</v>
      </c>
      <c r="C512" s="21">
        <v>0.14</v>
      </c>
      <c r="D512" s="21">
        <v>0.22</v>
      </c>
      <c r="E512" s="21">
        <v>0.05</v>
      </c>
      <c r="F512" s="22">
        <v>6.0</v>
      </c>
      <c r="G512" s="23"/>
      <c r="H512" s="24" t="s">
        <v>5235</v>
      </c>
      <c r="I512" s="21" t="s">
        <v>3617</v>
      </c>
      <c r="J512" s="24" t="s">
        <v>3674</v>
      </c>
      <c r="K512" s="21" t="s">
        <v>3675</v>
      </c>
      <c r="L512" s="25" t="s">
        <v>3676</v>
      </c>
      <c r="M512" s="26" t="s">
        <v>37</v>
      </c>
      <c r="N512" s="24" t="s">
        <v>954</v>
      </c>
      <c r="O512" s="24" t="s">
        <v>1303</v>
      </c>
      <c r="P512" s="27"/>
      <c r="Q512" s="27"/>
      <c r="R512" s="28" t="s">
        <v>3677</v>
      </c>
      <c r="S512" s="8" t="s">
        <v>3678</v>
      </c>
      <c r="T512" s="29" t="e">
        <v>#N/A</v>
      </c>
      <c r="U512" s="24"/>
    </row>
    <row r="513">
      <c r="A513" s="30">
        <v>2043126.0</v>
      </c>
      <c r="B513" s="20" t="s">
        <v>3615</v>
      </c>
      <c r="C513" s="21">
        <v>0.15</v>
      </c>
      <c r="D513" s="21">
        <v>0.09999999</v>
      </c>
      <c r="E513" s="21">
        <v>0.03</v>
      </c>
      <c r="F513" s="22">
        <v>10.0</v>
      </c>
      <c r="G513" s="23"/>
      <c r="H513" s="24" t="s">
        <v>5235</v>
      </c>
      <c r="I513" s="21" t="s">
        <v>3617</v>
      </c>
      <c r="J513" s="24" t="s">
        <v>3618</v>
      </c>
      <c r="K513" s="21" t="s">
        <v>3619</v>
      </c>
      <c r="L513" s="25" t="s">
        <v>3620</v>
      </c>
      <c r="M513" s="26" t="s">
        <v>28</v>
      </c>
      <c r="N513" s="24" t="s">
        <v>954</v>
      </c>
      <c r="O513" s="24" t="s">
        <v>1303</v>
      </c>
      <c r="P513" s="27"/>
      <c r="Q513" s="27"/>
      <c r="R513" s="28" t="s">
        <v>3621</v>
      </c>
      <c r="S513" s="8" t="s">
        <v>3622</v>
      </c>
      <c r="T513" s="29" t="s">
        <v>3623</v>
      </c>
      <c r="U513" s="24"/>
    </row>
    <row r="514">
      <c r="A514" s="30">
        <v>2043072.0</v>
      </c>
      <c r="B514" s="20" t="s">
        <v>3636</v>
      </c>
      <c r="C514" s="21">
        <v>0.12</v>
      </c>
      <c r="D514" s="21">
        <v>0.14</v>
      </c>
      <c r="E514" s="21">
        <v>0.03</v>
      </c>
      <c r="F514" s="22">
        <v>10.0</v>
      </c>
      <c r="G514" s="23"/>
      <c r="H514" s="24" t="s">
        <v>5235</v>
      </c>
      <c r="I514" s="21" t="s">
        <v>3617</v>
      </c>
      <c r="J514" s="24" t="s">
        <v>3637</v>
      </c>
      <c r="K514" s="21" t="s">
        <v>3638</v>
      </c>
      <c r="L514" s="25" t="s">
        <v>3639</v>
      </c>
      <c r="M514" s="26" t="s">
        <v>28</v>
      </c>
      <c r="N514" s="24" t="s">
        <v>954</v>
      </c>
      <c r="O514" s="24" t="s">
        <v>1303</v>
      </c>
      <c r="P514" s="27"/>
      <c r="Q514" s="27"/>
      <c r="R514" s="28" t="s">
        <v>3640</v>
      </c>
      <c r="S514" s="8" t="s">
        <v>3641</v>
      </c>
      <c r="T514" s="29" t="s">
        <v>3623</v>
      </c>
      <c r="U514" s="24"/>
    </row>
    <row r="515">
      <c r="A515" s="30">
        <v>2043096.0</v>
      </c>
      <c r="B515" s="20" t="s">
        <v>3648</v>
      </c>
      <c r="C515" s="21">
        <v>0.12</v>
      </c>
      <c r="D515" s="21">
        <v>0.14</v>
      </c>
      <c r="E515" s="21">
        <v>0.03</v>
      </c>
      <c r="F515" s="22">
        <v>10.0</v>
      </c>
      <c r="G515" s="23"/>
      <c r="H515" s="24" t="s">
        <v>5235</v>
      </c>
      <c r="I515" s="21" t="s">
        <v>3617</v>
      </c>
      <c r="J515" s="24" t="s">
        <v>3649</v>
      </c>
      <c r="K515" s="21" t="s">
        <v>3650</v>
      </c>
      <c r="L515" s="25" t="s">
        <v>3651</v>
      </c>
      <c r="M515" s="26" t="s">
        <v>28</v>
      </c>
      <c r="N515" s="24" t="s">
        <v>954</v>
      </c>
      <c r="O515" s="24" t="s">
        <v>1303</v>
      </c>
      <c r="P515" s="27"/>
      <c r="Q515" s="27"/>
      <c r="R515" s="28" t="s">
        <v>3652</v>
      </c>
      <c r="S515" s="8" t="s">
        <v>3653</v>
      </c>
      <c r="T515" s="29" t="s">
        <v>3623</v>
      </c>
      <c r="U515" s="24"/>
    </row>
    <row r="516">
      <c r="A516" s="30">
        <v>2043065.0</v>
      </c>
      <c r="B516" s="20" t="s">
        <v>3624</v>
      </c>
      <c r="C516" s="21">
        <v>0.12</v>
      </c>
      <c r="D516" s="21">
        <v>0.14</v>
      </c>
      <c r="E516" s="21">
        <v>0.03</v>
      </c>
      <c r="F516" s="22">
        <v>10.0</v>
      </c>
      <c r="G516" s="23"/>
      <c r="H516" s="24" t="s">
        <v>5235</v>
      </c>
      <c r="I516" s="21" t="s">
        <v>3617</v>
      </c>
      <c r="J516" s="24" t="s">
        <v>3625</v>
      </c>
      <c r="K516" s="21" t="s">
        <v>3626</v>
      </c>
      <c r="L516" s="25" t="s">
        <v>3627</v>
      </c>
      <c r="M516" s="26" t="s">
        <v>28</v>
      </c>
      <c r="N516" s="24" t="s">
        <v>954</v>
      </c>
      <c r="O516" s="24" t="s">
        <v>1303</v>
      </c>
      <c r="P516" s="27"/>
      <c r="Q516" s="27"/>
      <c r="R516" s="31" t="s">
        <v>3628</v>
      </c>
      <c r="S516" s="8" t="s">
        <v>3629</v>
      </c>
      <c r="T516" s="29" t="s">
        <v>3623</v>
      </c>
      <c r="U516" s="24"/>
    </row>
    <row r="517">
      <c r="A517" s="30">
        <v>2043812.0</v>
      </c>
      <c r="B517" s="20" t="s">
        <v>3654</v>
      </c>
      <c r="C517" s="21">
        <v>0.15</v>
      </c>
      <c r="D517" s="21">
        <v>0.09999999</v>
      </c>
      <c r="E517" s="21">
        <v>0.03</v>
      </c>
      <c r="F517" s="22">
        <v>10.0</v>
      </c>
      <c r="G517" s="23"/>
      <c r="H517" s="24" t="s">
        <v>5235</v>
      </c>
      <c r="I517" s="21" t="s">
        <v>3617</v>
      </c>
      <c r="J517" s="24" t="s">
        <v>3655</v>
      </c>
      <c r="K517" s="21" t="s">
        <v>3656</v>
      </c>
      <c r="L517" s="25" t="s">
        <v>3657</v>
      </c>
      <c r="M517" s="26" t="s">
        <v>28</v>
      </c>
      <c r="N517" s="24" t="s">
        <v>954</v>
      </c>
      <c r="O517" s="24" t="s">
        <v>1303</v>
      </c>
      <c r="P517" s="27"/>
      <c r="Q517" s="27"/>
      <c r="R517" s="28" t="s">
        <v>3658</v>
      </c>
      <c r="S517" s="8" t="s">
        <v>3659</v>
      </c>
      <c r="T517" s="29" t="s">
        <v>3623</v>
      </c>
      <c r="U517" s="24"/>
    </row>
    <row r="518">
      <c r="A518" s="30">
        <v>2043034.0</v>
      </c>
      <c r="B518" s="20" t="s">
        <v>3630</v>
      </c>
      <c r="C518" s="21">
        <v>0.13</v>
      </c>
      <c r="D518" s="21">
        <v>0.09</v>
      </c>
      <c r="E518" s="21">
        <v>0.03</v>
      </c>
      <c r="F518" s="22">
        <v>10.0</v>
      </c>
      <c r="G518" s="23"/>
      <c r="H518" s="24" t="s">
        <v>5235</v>
      </c>
      <c r="I518" s="21" t="s">
        <v>3617</v>
      </c>
      <c r="J518" s="24" t="s">
        <v>3631</v>
      </c>
      <c r="K518" s="21" t="s">
        <v>3632</v>
      </c>
      <c r="L518" s="25" t="s">
        <v>3633</v>
      </c>
      <c r="M518" s="26" t="s">
        <v>28</v>
      </c>
      <c r="N518" s="24" t="s">
        <v>954</v>
      </c>
      <c r="O518" s="24" t="s">
        <v>1303</v>
      </c>
      <c r="P518" s="27"/>
      <c r="Q518" s="27"/>
      <c r="R518" s="28" t="s">
        <v>3634</v>
      </c>
      <c r="S518" s="8" t="s">
        <v>3635</v>
      </c>
      <c r="T518" s="29" t="s">
        <v>3623</v>
      </c>
      <c r="U518" s="24"/>
    </row>
    <row r="519">
      <c r="A519" s="30">
        <v>2043058.0</v>
      </c>
      <c r="B519" s="20" t="s">
        <v>3642</v>
      </c>
      <c r="C519" s="21">
        <v>0.13</v>
      </c>
      <c r="D519" s="21">
        <v>0.09</v>
      </c>
      <c r="E519" s="21">
        <v>0.03</v>
      </c>
      <c r="F519" s="22">
        <v>10.0</v>
      </c>
      <c r="G519" s="23"/>
      <c r="H519" s="24" t="s">
        <v>5235</v>
      </c>
      <c r="I519" s="21" t="s">
        <v>3617</v>
      </c>
      <c r="J519" s="24" t="s">
        <v>3643</v>
      </c>
      <c r="K519" s="21" t="s">
        <v>3644</v>
      </c>
      <c r="L519" s="25" t="s">
        <v>3645</v>
      </c>
      <c r="M519" s="26" t="s">
        <v>28</v>
      </c>
      <c r="N519" s="24" t="s">
        <v>954</v>
      </c>
      <c r="O519" s="24" t="s">
        <v>1303</v>
      </c>
      <c r="P519" s="27"/>
      <c r="Q519" s="27"/>
      <c r="R519" s="28" t="s">
        <v>3646</v>
      </c>
      <c r="S519" s="8" t="s">
        <v>3647</v>
      </c>
      <c r="T519" s="29" t="s">
        <v>3623</v>
      </c>
      <c r="U519" s="24"/>
    </row>
    <row r="520">
      <c r="A520" s="30">
        <v>7.290000060071E12</v>
      </c>
      <c r="B520" s="20" t="s">
        <v>5237</v>
      </c>
      <c r="C520" s="21">
        <v>0.14</v>
      </c>
      <c r="D520" s="21">
        <v>0.22</v>
      </c>
      <c r="E520" s="21">
        <v>0.05</v>
      </c>
      <c r="F520" s="22">
        <v>6.0</v>
      </c>
      <c r="G520" s="23"/>
      <c r="H520" s="24" t="s">
        <v>5235</v>
      </c>
      <c r="I520" s="21" t="s">
        <v>3617</v>
      </c>
      <c r="J520" s="24" t="s">
        <v>3668</v>
      </c>
      <c r="K520" s="21" t="s">
        <v>3669</v>
      </c>
      <c r="L520" s="25" t="s">
        <v>3670</v>
      </c>
      <c r="M520" s="26" t="s">
        <v>37</v>
      </c>
      <c r="N520" s="24" t="s">
        <v>954</v>
      </c>
      <c r="O520" s="24" t="s">
        <v>1303</v>
      </c>
      <c r="P520" s="27"/>
      <c r="Q520" s="27"/>
      <c r="R520" s="28" t="s">
        <v>3671</v>
      </c>
      <c r="S520" s="8" t="s">
        <v>3672</v>
      </c>
      <c r="T520" s="29" t="e">
        <v>#N/A</v>
      </c>
      <c r="U520" s="24"/>
    </row>
    <row r="521">
      <c r="A521" s="30">
        <v>7.290000068343E12</v>
      </c>
      <c r="B521" s="20" t="s">
        <v>5238</v>
      </c>
      <c r="C521" s="21">
        <v>0.09</v>
      </c>
      <c r="D521" s="21">
        <v>0.235</v>
      </c>
      <c r="E521" s="21">
        <v>0.09</v>
      </c>
      <c r="F521" s="22">
        <v>3.0</v>
      </c>
      <c r="G521" s="23"/>
      <c r="H521" s="24" t="s">
        <v>5235</v>
      </c>
      <c r="I521" s="21" t="s">
        <v>3617</v>
      </c>
      <c r="J521" s="24" t="s">
        <v>3662</v>
      </c>
      <c r="K521" s="21" t="s">
        <v>3663</v>
      </c>
      <c r="L521" s="25" t="s">
        <v>3664</v>
      </c>
      <c r="M521" s="26" t="s">
        <v>37</v>
      </c>
      <c r="N521" s="24" t="s">
        <v>954</v>
      </c>
      <c r="O521" s="24" t="s">
        <v>1303</v>
      </c>
      <c r="P521" s="27"/>
      <c r="Q521" s="27"/>
      <c r="R521" s="28" t="s">
        <v>3665</v>
      </c>
      <c r="S521" s="8" t="s">
        <v>3666</v>
      </c>
      <c r="T521" s="29" t="e">
        <v>#N/A</v>
      </c>
      <c r="U521" s="24"/>
    </row>
    <row r="522">
      <c r="A522" s="30">
        <v>7.290107933117E12</v>
      </c>
      <c r="B522" s="20" t="s">
        <v>3591</v>
      </c>
      <c r="C522" s="21">
        <v>0.09999999</v>
      </c>
      <c r="D522" s="21">
        <v>0.26</v>
      </c>
      <c r="E522" s="21">
        <v>0.09999999</v>
      </c>
      <c r="F522" s="22">
        <v>3.0</v>
      </c>
      <c r="G522" s="23"/>
      <c r="H522" s="24" t="s">
        <v>5239</v>
      </c>
      <c r="I522" s="21" t="s">
        <v>1298</v>
      </c>
      <c r="J522" s="24" t="s">
        <v>3592</v>
      </c>
      <c r="K522" s="21" t="s">
        <v>3593</v>
      </c>
      <c r="L522" s="25" t="s">
        <v>3594</v>
      </c>
      <c r="M522" s="26" t="s">
        <v>28</v>
      </c>
      <c r="N522" s="24" t="s">
        <v>954</v>
      </c>
      <c r="O522" s="24" t="s">
        <v>3588</v>
      </c>
      <c r="P522" s="27"/>
      <c r="Q522" s="27"/>
      <c r="R522" s="31" t="s">
        <v>3595</v>
      </c>
      <c r="S522" s="8" t="s">
        <v>3596</v>
      </c>
      <c r="T522" s="29" t="s">
        <v>1306</v>
      </c>
      <c r="U522" s="24"/>
    </row>
    <row r="523">
      <c r="A523" s="30">
        <v>7.2901079331E12</v>
      </c>
      <c r="B523" s="20" t="s">
        <v>3584</v>
      </c>
      <c r="C523" s="21">
        <v>0.09999999</v>
      </c>
      <c r="D523" s="21">
        <v>0.26</v>
      </c>
      <c r="E523" s="21">
        <v>0.09999999</v>
      </c>
      <c r="F523" s="22">
        <v>3.0</v>
      </c>
      <c r="G523" s="23"/>
      <c r="H523" s="24" t="s">
        <v>5239</v>
      </c>
      <c r="I523" s="21" t="s">
        <v>1298</v>
      </c>
      <c r="J523" s="24" t="s">
        <v>3585</v>
      </c>
      <c r="K523" s="21" t="s">
        <v>3586</v>
      </c>
      <c r="L523" s="25" t="s">
        <v>3587</v>
      </c>
      <c r="M523" s="26" t="s">
        <v>28</v>
      </c>
      <c r="N523" s="24" t="s">
        <v>954</v>
      </c>
      <c r="O523" s="24" t="s">
        <v>3588</v>
      </c>
      <c r="P523" s="27"/>
      <c r="Q523" s="27"/>
      <c r="R523" s="31" t="s">
        <v>3589</v>
      </c>
      <c r="S523" s="33" t="s">
        <v>3590</v>
      </c>
      <c r="T523" s="29" t="s">
        <v>1306</v>
      </c>
      <c r="U523" s="24"/>
    </row>
    <row r="524">
      <c r="A524" s="30">
        <v>7.290107953917E12</v>
      </c>
      <c r="B524" s="20" t="s">
        <v>3603</v>
      </c>
      <c r="C524" s="21">
        <v>0.09999999</v>
      </c>
      <c r="D524" s="21">
        <v>0.26</v>
      </c>
      <c r="E524" s="21">
        <v>0.09999999</v>
      </c>
      <c r="F524" s="22">
        <v>3.0</v>
      </c>
      <c r="G524" s="23"/>
      <c r="H524" s="24" t="s">
        <v>5239</v>
      </c>
      <c r="I524" s="21" t="s">
        <v>1298</v>
      </c>
      <c r="J524" s="24" t="s">
        <v>3604</v>
      </c>
      <c r="K524" s="21" t="s">
        <v>3605</v>
      </c>
      <c r="L524" s="25" t="s">
        <v>3606</v>
      </c>
      <c r="M524" s="26" t="s">
        <v>28</v>
      </c>
      <c r="N524" s="24" t="s">
        <v>954</v>
      </c>
      <c r="O524" s="24" t="s">
        <v>3588</v>
      </c>
      <c r="P524" s="27"/>
      <c r="Q524" s="27"/>
      <c r="R524" s="31" t="s">
        <v>3607</v>
      </c>
      <c r="S524" s="8" t="s">
        <v>3608</v>
      </c>
      <c r="T524" s="29" t="s">
        <v>1306</v>
      </c>
      <c r="U524" s="24"/>
    </row>
    <row r="525">
      <c r="A525" s="30">
        <v>7.290105968777E12</v>
      </c>
      <c r="B525" s="20" t="s">
        <v>3597</v>
      </c>
      <c r="C525" s="21">
        <v>0.13</v>
      </c>
      <c r="D525" s="21">
        <v>0.18</v>
      </c>
      <c r="E525" s="21">
        <v>0.03</v>
      </c>
      <c r="F525" s="22">
        <v>10.0</v>
      </c>
      <c r="G525" s="23"/>
      <c r="H525" s="24" t="s">
        <v>5239</v>
      </c>
      <c r="I525" s="21" t="s">
        <v>1298</v>
      </c>
      <c r="J525" s="24" t="s">
        <v>3598</v>
      </c>
      <c r="K525" s="21" t="s">
        <v>3599</v>
      </c>
      <c r="L525" s="25" t="s">
        <v>3600</v>
      </c>
      <c r="M525" s="26" t="s">
        <v>28</v>
      </c>
      <c r="N525" s="24" t="s">
        <v>954</v>
      </c>
      <c r="O525" s="24" t="s">
        <v>1303</v>
      </c>
      <c r="P525" s="27"/>
      <c r="Q525" s="27"/>
      <c r="R525" s="28" t="s">
        <v>3601</v>
      </c>
      <c r="S525" s="33" t="s">
        <v>3602</v>
      </c>
      <c r="T525" s="29" t="s">
        <v>1306</v>
      </c>
      <c r="U525" s="24"/>
    </row>
    <row r="526">
      <c r="A526" s="30">
        <v>7.290106526822E12</v>
      </c>
      <c r="B526" s="20" t="s">
        <v>3609</v>
      </c>
      <c r="C526" s="21">
        <v>0.13</v>
      </c>
      <c r="D526" s="21">
        <v>0.18</v>
      </c>
      <c r="E526" s="21">
        <v>0.03</v>
      </c>
      <c r="F526" s="22">
        <v>10.0</v>
      </c>
      <c r="G526" s="23"/>
      <c r="H526" s="24" t="s">
        <v>5239</v>
      </c>
      <c r="I526" s="21" t="s">
        <v>1298</v>
      </c>
      <c r="J526" s="24" t="s">
        <v>3610</v>
      </c>
      <c r="K526" s="21" t="s">
        <v>3611</v>
      </c>
      <c r="L526" s="25" t="s">
        <v>3612</v>
      </c>
      <c r="M526" s="26" t="s">
        <v>28</v>
      </c>
      <c r="N526" s="24" t="s">
        <v>954</v>
      </c>
      <c r="O526" s="24" t="s">
        <v>1303</v>
      </c>
      <c r="P526" s="27"/>
      <c r="Q526" s="27"/>
      <c r="R526" s="28" t="s">
        <v>3613</v>
      </c>
      <c r="S526" s="8" t="s">
        <v>3614</v>
      </c>
      <c r="T526" s="29" t="s">
        <v>1306</v>
      </c>
      <c r="U526" s="24"/>
    </row>
    <row r="527">
      <c r="A527" s="30">
        <v>7.290112495983E12</v>
      </c>
      <c r="B527" s="20" t="s">
        <v>5240</v>
      </c>
      <c r="C527" s="21">
        <v>0.09999999</v>
      </c>
      <c r="D527" s="21">
        <v>0.09999999</v>
      </c>
      <c r="E527" s="21">
        <v>0.07</v>
      </c>
      <c r="F527" s="22">
        <v>4.0</v>
      </c>
      <c r="G527" s="23"/>
      <c r="H527" s="24" t="s">
        <v>5239</v>
      </c>
      <c r="I527" s="21" t="s">
        <v>3290</v>
      </c>
      <c r="J527" s="24" t="s">
        <v>3708</v>
      </c>
      <c r="K527" s="21" t="s">
        <v>3709</v>
      </c>
      <c r="L527" s="25" t="s">
        <v>3710</v>
      </c>
      <c r="M527" s="26" t="s">
        <v>28</v>
      </c>
      <c r="N527" s="24" t="s">
        <v>954</v>
      </c>
      <c r="O527" s="24" t="s">
        <v>1303</v>
      </c>
      <c r="P527" s="27"/>
      <c r="Q527" s="27"/>
      <c r="R527" s="28" t="s">
        <v>3711</v>
      </c>
      <c r="S527" s="33" t="s">
        <v>3712</v>
      </c>
      <c r="T527" s="29" t="s">
        <v>3290</v>
      </c>
      <c r="U527" s="24"/>
    </row>
    <row r="528">
      <c r="A528" s="30">
        <v>7.290001045633E12</v>
      </c>
      <c r="B528" s="20" t="s">
        <v>3841</v>
      </c>
      <c r="C528" s="21">
        <v>0.07</v>
      </c>
      <c r="D528" s="21">
        <v>0.19</v>
      </c>
      <c r="E528" s="21">
        <v>0.045</v>
      </c>
      <c r="F528" s="22">
        <v>7.0</v>
      </c>
      <c r="G528" s="23"/>
      <c r="H528" s="24" t="s">
        <v>3842</v>
      </c>
      <c r="I528" s="21" t="s">
        <v>3843</v>
      </c>
      <c r="J528" s="24" t="s">
        <v>3844</v>
      </c>
      <c r="K528" s="21" t="s">
        <v>3845</v>
      </c>
      <c r="L528" s="25" t="s">
        <v>3846</v>
      </c>
      <c r="M528" s="26" t="s">
        <v>37</v>
      </c>
      <c r="N528" s="24" t="s">
        <v>718</v>
      </c>
      <c r="O528" s="24" t="s">
        <v>719</v>
      </c>
      <c r="P528" s="27"/>
      <c r="Q528" s="27"/>
      <c r="R528" s="31" t="s">
        <v>3847</v>
      </c>
      <c r="S528" s="33" t="s">
        <v>3848</v>
      </c>
      <c r="T528" s="29" t="e">
        <v>#N/A</v>
      </c>
      <c r="U528" s="24"/>
    </row>
    <row r="529">
      <c r="A529" s="30">
        <v>7.290001045688E12</v>
      </c>
      <c r="B529" s="20" t="s">
        <v>3855</v>
      </c>
      <c r="C529" s="21">
        <v>0.07</v>
      </c>
      <c r="D529" s="21">
        <v>0.19</v>
      </c>
      <c r="E529" s="21">
        <v>0.045</v>
      </c>
      <c r="F529" s="22">
        <v>7.0</v>
      </c>
      <c r="G529" s="23"/>
      <c r="H529" s="24" t="s">
        <v>3842</v>
      </c>
      <c r="I529" s="21" t="s">
        <v>3843</v>
      </c>
      <c r="J529" s="24" t="s">
        <v>3856</v>
      </c>
      <c r="K529" s="21" t="s">
        <v>3857</v>
      </c>
      <c r="L529" s="25" t="s">
        <v>3858</v>
      </c>
      <c r="M529" s="26" t="s">
        <v>37</v>
      </c>
      <c r="N529" s="24" t="s">
        <v>718</v>
      </c>
      <c r="O529" s="24" t="s">
        <v>719</v>
      </c>
      <c r="P529" s="27"/>
      <c r="Q529" s="27"/>
      <c r="R529" s="31" t="s">
        <v>3859</v>
      </c>
      <c r="S529" s="33" t="s">
        <v>3860</v>
      </c>
      <c r="T529" s="29" t="e">
        <v>#N/A</v>
      </c>
      <c r="U529" s="24"/>
    </row>
    <row r="530">
      <c r="A530" s="30">
        <v>7.290001045657E12</v>
      </c>
      <c r="B530" s="20" t="s">
        <v>3849</v>
      </c>
      <c r="C530" s="21">
        <v>0.07</v>
      </c>
      <c r="D530" s="21">
        <v>0.19</v>
      </c>
      <c r="E530" s="21">
        <v>0.045</v>
      </c>
      <c r="F530" s="22">
        <v>7.0</v>
      </c>
      <c r="G530" s="23"/>
      <c r="H530" s="24" t="s">
        <v>3842</v>
      </c>
      <c r="I530" s="21" t="s">
        <v>3843</v>
      </c>
      <c r="J530" s="24" t="s">
        <v>3850</v>
      </c>
      <c r="K530" s="21" t="s">
        <v>3851</v>
      </c>
      <c r="L530" s="25" t="s">
        <v>3852</v>
      </c>
      <c r="M530" s="26" t="s">
        <v>37</v>
      </c>
      <c r="N530" s="24" t="s">
        <v>718</v>
      </c>
      <c r="O530" s="24" t="s">
        <v>719</v>
      </c>
      <c r="P530" s="27"/>
      <c r="Q530" s="27"/>
      <c r="R530" s="31" t="s">
        <v>3853</v>
      </c>
      <c r="S530" s="33" t="s">
        <v>3854</v>
      </c>
      <c r="T530" s="29" t="e">
        <v>#N/A</v>
      </c>
      <c r="U530" s="24"/>
    </row>
    <row r="531">
      <c r="A531" s="30">
        <v>3.8000138416E10</v>
      </c>
      <c r="B531" s="20" t="s">
        <v>3884</v>
      </c>
      <c r="C531" s="21">
        <v>0.08</v>
      </c>
      <c r="D531" s="21">
        <v>0.27</v>
      </c>
      <c r="E531" s="21">
        <v>0.08</v>
      </c>
      <c r="F531" s="22">
        <v>4.0</v>
      </c>
      <c r="G531" s="23"/>
      <c r="H531" s="24" t="s">
        <v>3862</v>
      </c>
      <c r="I531" s="21" t="s">
        <v>3863</v>
      </c>
      <c r="J531" s="24" t="s">
        <v>3885</v>
      </c>
      <c r="K531" s="21" t="s">
        <v>3886</v>
      </c>
      <c r="L531" s="25" t="s">
        <v>3887</v>
      </c>
      <c r="M531" s="26" t="s">
        <v>28</v>
      </c>
      <c r="N531" s="24" t="s">
        <v>109</v>
      </c>
      <c r="O531" s="24" t="s">
        <v>3867</v>
      </c>
      <c r="P531" s="27"/>
      <c r="Q531" s="27"/>
      <c r="R531" s="28" t="s">
        <v>3888</v>
      </c>
      <c r="S531" s="8" t="s">
        <v>3887</v>
      </c>
      <c r="T531" s="29" t="s">
        <v>3863</v>
      </c>
      <c r="U531" s="21" t="s">
        <v>113</v>
      </c>
    </row>
    <row r="532">
      <c r="A532" s="30">
        <v>3.8000845246E10</v>
      </c>
      <c r="B532" s="20" t="s">
        <v>3889</v>
      </c>
      <c r="C532" s="21">
        <v>0.08</v>
      </c>
      <c r="D532" s="21">
        <v>0.13</v>
      </c>
      <c r="E532" s="21">
        <v>0.08</v>
      </c>
      <c r="F532" s="22">
        <v>4.0</v>
      </c>
      <c r="G532" s="23"/>
      <c r="H532" s="24" t="s">
        <v>3862</v>
      </c>
      <c r="I532" s="21" t="s">
        <v>3863</v>
      </c>
      <c r="J532" s="24" t="s">
        <v>3890</v>
      </c>
      <c r="K532" s="21" t="s">
        <v>3891</v>
      </c>
      <c r="L532" s="25" t="s">
        <v>3892</v>
      </c>
      <c r="M532" s="26" t="s">
        <v>28</v>
      </c>
      <c r="N532" s="24" t="s">
        <v>109</v>
      </c>
      <c r="O532" s="24" t="s">
        <v>3867</v>
      </c>
      <c r="P532" s="27"/>
      <c r="Q532" s="27"/>
      <c r="R532" s="28" t="s">
        <v>3893</v>
      </c>
      <c r="S532" s="8" t="s">
        <v>3892</v>
      </c>
      <c r="T532" s="29" t="s">
        <v>3863</v>
      </c>
      <c r="U532" s="21" t="s">
        <v>113</v>
      </c>
    </row>
    <row r="533">
      <c r="A533" s="30">
        <v>3.8000183713E10</v>
      </c>
      <c r="B533" s="20" t="s">
        <v>3861</v>
      </c>
      <c r="C533" s="21">
        <v>0.08</v>
      </c>
      <c r="D533" s="21">
        <v>0.27</v>
      </c>
      <c r="E533" s="21">
        <v>0.08</v>
      </c>
      <c r="F533" s="22">
        <v>4.0</v>
      </c>
      <c r="G533" s="23"/>
      <c r="H533" s="24" t="s">
        <v>3862</v>
      </c>
      <c r="I533" s="21" t="s">
        <v>3863</v>
      </c>
      <c r="J533" s="24" t="s">
        <v>3864</v>
      </c>
      <c r="K533" s="21" t="s">
        <v>3865</v>
      </c>
      <c r="L533" s="25" t="s">
        <v>3866</v>
      </c>
      <c r="M533" s="26" t="s">
        <v>28</v>
      </c>
      <c r="N533" s="24" t="s">
        <v>109</v>
      </c>
      <c r="O533" s="24" t="s">
        <v>3867</v>
      </c>
      <c r="P533" s="27"/>
      <c r="Q533" s="27"/>
      <c r="R533" s="28" t="s">
        <v>3868</v>
      </c>
      <c r="S533" s="8" t="s">
        <v>3866</v>
      </c>
      <c r="T533" s="29" t="s">
        <v>3863</v>
      </c>
      <c r="U533" s="21" t="s">
        <v>113</v>
      </c>
    </row>
    <row r="534">
      <c r="A534" s="30">
        <v>3.800018369E10</v>
      </c>
      <c r="B534" s="20" t="s">
        <v>3879</v>
      </c>
      <c r="C534" s="21">
        <v>0.085</v>
      </c>
      <c r="D534" s="21">
        <v>0.13</v>
      </c>
      <c r="E534" s="21">
        <v>0.08</v>
      </c>
      <c r="F534" s="22">
        <v>4.0</v>
      </c>
      <c r="G534" s="23"/>
      <c r="H534" s="24" t="s">
        <v>3862</v>
      </c>
      <c r="I534" s="21" t="s">
        <v>3863</v>
      </c>
      <c r="J534" s="24" t="s">
        <v>3880</v>
      </c>
      <c r="K534" s="21" t="s">
        <v>3881</v>
      </c>
      <c r="L534" s="25" t="s">
        <v>3882</v>
      </c>
      <c r="M534" s="26" t="s">
        <v>28</v>
      </c>
      <c r="N534" s="24" t="s">
        <v>109</v>
      </c>
      <c r="O534" s="24" t="s">
        <v>3867</v>
      </c>
      <c r="P534" s="27"/>
      <c r="Q534" s="27"/>
      <c r="R534" s="28" t="s">
        <v>3883</v>
      </c>
      <c r="S534" s="8" t="s">
        <v>3882</v>
      </c>
      <c r="T534" s="29" t="s">
        <v>3863</v>
      </c>
      <c r="U534" s="21" t="s">
        <v>113</v>
      </c>
    </row>
    <row r="535">
      <c r="A535" s="30">
        <v>3.8000845253E10</v>
      </c>
      <c r="B535" s="20" t="s">
        <v>3874</v>
      </c>
      <c r="C535" s="21">
        <v>0.08</v>
      </c>
      <c r="D535" s="21">
        <v>0.13</v>
      </c>
      <c r="E535" s="21">
        <v>0.08</v>
      </c>
      <c r="F535" s="22">
        <v>4.0</v>
      </c>
      <c r="G535" s="23"/>
      <c r="H535" s="24" t="s">
        <v>3862</v>
      </c>
      <c r="I535" s="21" t="s">
        <v>3863</v>
      </c>
      <c r="J535" s="24" t="s">
        <v>3875</v>
      </c>
      <c r="K535" s="21" t="s">
        <v>3876</v>
      </c>
      <c r="L535" s="25" t="s">
        <v>3877</v>
      </c>
      <c r="M535" s="26" t="s">
        <v>28</v>
      </c>
      <c r="N535" s="24" t="s">
        <v>109</v>
      </c>
      <c r="O535" s="24" t="s">
        <v>3867</v>
      </c>
      <c r="P535" s="27"/>
      <c r="Q535" s="27"/>
      <c r="R535" s="28" t="s">
        <v>3878</v>
      </c>
      <c r="S535" s="8" t="s">
        <v>3877</v>
      </c>
      <c r="T535" s="29" t="s">
        <v>3863</v>
      </c>
      <c r="U535" s="21" t="s">
        <v>113</v>
      </c>
    </row>
    <row r="536">
      <c r="A536" s="30">
        <v>3.800013843E10</v>
      </c>
      <c r="B536" s="20" t="s">
        <v>3869</v>
      </c>
      <c r="C536" s="21">
        <v>0.08</v>
      </c>
      <c r="D536" s="21">
        <v>0.27</v>
      </c>
      <c r="E536" s="21">
        <v>0.08</v>
      </c>
      <c r="F536" s="22">
        <v>4.0</v>
      </c>
      <c r="G536" s="23"/>
      <c r="H536" s="24" t="s">
        <v>3862</v>
      </c>
      <c r="I536" s="21" t="s">
        <v>3863</v>
      </c>
      <c r="J536" s="24" t="s">
        <v>3870</v>
      </c>
      <c r="K536" s="21" t="s">
        <v>3871</v>
      </c>
      <c r="L536" s="25" t="s">
        <v>3872</v>
      </c>
      <c r="M536" s="26" t="s">
        <v>28</v>
      </c>
      <c r="N536" s="24" t="s">
        <v>109</v>
      </c>
      <c r="O536" s="24" t="s">
        <v>3867</v>
      </c>
      <c r="P536" s="27"/>
      <c r="Q536" s="27"/>
      <c r="R536" s="28" t="s">
        <v>3873</v>
      </c>
      <c r="S536" s="8" t="s">
        <v>3872</v>
      </c>
      <c r="T536" s="29" t="s">
        <v>3863</v>
      </c>
      <c r="U536" s="21" t="s">
        <v>113</v>
      </c>
    </row>
    <row r="537">
      <c r="A537" s="30">
        <v>8.006290803514E12</v>
      </c>
      <c r="B537" s="20" t="s">
        <v>1380</v>
      </c>
      <c r="C537" s="21">
        <v>0.055</v>
      </c>
      <c r="D537" s="21">
        <v>0.21</v>
      </c>
      <c r="E537" s="21">
        <v>0.055</v>
      </c>
      <c r="F537" s="22">
        <v>5.0</v>
      </c>
      <c r="G537" s="23"/>
      <c r="H537" s="24" t="s">
        <v>1381</v>
      </c>
      <c r="I537" s="21" t="s">
        <v>1382</v>
      </c>
      <c r="J537" s="20" t="s">
        <v>1383</v>
      </c>
      <c r="K537" s="21" t="s">
        <v>1383</v>
      </c>
      <c r="L537" s="25" t="s">
        <v>1384</v>
      </c>
      <c r="M537" s="26" t="s">
        <v>28</v>
      </c>
      <c r="N537" s="24" t="s">
        <v>1385</v>
      </c>
      <c r="O537" s="24" t="s">
        <v>1386</v>
      </c>
      <c r="P537" s="27"/>
      <c r="Q537" s="27"/>
      <c r="R537" s="28" t="s">
        <v>1387</v>
      </c>
      <c r="S537" s="8" t="s">
        <v>1388</v>
      </c>
      <c r="T537" s="29" t="s">
        <v>1382</v>
      </c>
      <c r="U537" s="24"/>
    </row>
    <row r="538">
      <c r="A538" s="30">
        <v>7.290112349347E12</v>
      </c>
      <c r="B538" s="20" t="s">
        <v>1465</v>
      </c>
      <c r="C538" s="21">
        <v>0.06</v>
      </c>
      <c r="D538" s="21">
        <v>0.06</v>
      </c>
      <c r="E538" s="21">
        <v>0.015</v>
      </c>
      <c r="F538" s="22">
        <v>20.0</v>
      </c>
      <c r="G538" s="23"/>
      <c r="H538" s="24" t="s">
        <v>1428</v>
      </c>
      <c r="I538" s="21" t="s">
        <v>1429</v>
      </c>
      <c r="J538" s="24" t="s">
        <v>1466</v>
      </c>
      <c r="K538" s="21" t="s">
        <v>1467</v>
      </c>
      <c r="L538" s="25" t="s">
        <v>1468</v>
      </c>
      <c r="M538" s="26" t="s">
        <v>28</v>
      </c>
      <c r="N538" s="24" t="s">
        <v>1433</v>
      </c>
      <c r="O538" s="24" t="s">
        <v>1434</v>
      </c>
      <c r="P538" s="27"/>
      <c r="Q538" s="27"/>
      <c r="R538" s="28" t="s">
        <v>1469</v>
      </c>
      <c r="S538" s="8" t="s">
        <v>1470</v>
      </c>
      <c r="T538" s="29" t="s">
        <v>1437</v>
      </c>
      <c r="U538" s="24"/>
    </row>
    <row r="539">
      <c r="A539" s="30">
        <v>7.290112349354E12</v>
      </c>
      <c r="B539" s="20" t="s">
        <v>1427</v>
      </c>
      <c r="C539" s="21">
        <v>0.06</v>
      </c>
      <c r="D539" s="21">
        <v>0.06</v>
      </c>
      <c r="E539" s="21">
        <v>0.015</v>
      </c>
      <c r="F539" s="22">
        <v>20.0</v>
      </c>
      <c r="G539" s="23"/>
      <c r="H539" s="24" t="s">
        <v>1428</v>
      </c>
      <c r="I539" s="21" t="s">
        <v>1429</v>
      </c>
      <c r="J539" s="24" t="s">
        <v>1430</v>
      </c>
      <c r="K539" s="21" t="s">
        <v>1431</v>
      </c>
      <c r="L539" s="25" t="s">
        <v>1432</v>
      </c>
      <c r="M539" s="26" t="s">
        <v>28</v>
      </c>
      <c r="N539" s="24" t="s">
        <v>1433</v>
      </c>
      <c r="O539" s="24" t="s">
        <v>1434</v>
      </c>
      <c r="P539" s="27"/>
      <c r="Q539" s="27"/>
      <c r="R539" s="28" t="s">
        <v>1435</v>
      </c>
      <c r="S539" s="8" t="s">
        <v>1436</v>
      </c>
      <c r="T539" s="29" t="s">
        <v>1437</v>
      </c>
      <c r="U539" s="24"/>
    </row>
    <row r="540">
      <c r="A540" s="30">
        <v>7.290112349378E12</v>
      </c>
      <c r="B540" s="20" t="s">
        <v>1438</v>
      </c>
      <c r="C540" s="21">
        <v>0.06</v>
      </c>
      <c r="D540" s="21">
        <v>0.06</v>
      </c>
      <c r="E540" s="21">
        <v>0.015</v>
      </c>
      <c r="F540" s="22">
        <v>20.0</v>
      </c>
      <c r="G540" s="23"/>
      <c r="H540" s="24" t="s">
        <v>1428</v>
      </c>
      <c r="I540" s="21" t="s">
        <v>1429</v>
      </c>
      <c r="J540" s="24" t="s">
        <v>1439</v>
      </c>
      <c r="K540" s="21" t="s">
        <v>1440</v>
      </c>
      <c r="L540" s="25" t="s">
        <v>1441</v>
      </c>
      <c r="M540" s="26" t="s">
        <v>28</v>
      </c>
      <c r="N540" s="24" t="s">
        <v>1433</v>
      </c>
      <c r="O540" s="24" t="s">
        <v>1434</v>
      </c>
      <c r="P540" s="27"/>
      <c r="Q540" s="27"/>
      <c r="R540" s="28" t="s">
        <v>1442</v>
      </c>
      <c r="S540" s="8" t="s">
        <v>1443</v>
      </c>
      <c r="T540" s="29" t="s">
        <v>1437</v>
      </c>
      <c r="U540" s="24"/>
    </row>
    <row r="541">
      <c r="A541" s="30">
        <v>6.928542902795E12</v>
      </c>
      <c r="B541" s="20" t="s">
        <v>1444</v>
      </c>
      <c r="C541" s="21">
        <v>0.08</v>
      </c>
      <c r="D541" s="21">
        <v>0.08</v>
      </c>
      <c r="E541" s="21">
        <v>0.01</v>
      </c>
      <c r="F541" s="22">
        <v>30.0</v>
      </c>
      <c r="G541" s="23"/>
      <c r="H541" s="24" t="s">
        <v>1428</v>
      </c>
      <c r="I541" s="21" t="s">
        <v>1445</v>
      </c>
      <c r="J541" s="24" t="s">
        <v>1447</v>
      </c>
      <c r="K541" s="21" t="s">
        <v>1448</v>
      </c>
      <c r="L541" s="25" t="s">
        <v>1449</v>
      </c>
      <c r="M541" s="26" t="s">
        <v>28</v>
      </c>
      <c r="N541" s="24" t="s">
        <v>1433</v>
      </c>
      <c r="O541" s="24" t="s">
        <v>1450</v>
      </c>
      <c r="P541" s="27"/>
      <c r="Q541" s="27"/>
      <c r="R541" s="28" t="s">
        <v>1451</v>
      </c>
      <c r="S541" s="8" t="s">
        <v>1452</v>
      </c>
      <c r="T541" s="29" t="s">
        <v>1445</v>
      </c>
      <c r="U541" s="24"/>
    </row>
    <row r="542">
      <c r="A542" s="30">
        <v>6.928542902801E12</v>
      </c>
      <c r="B542" s="20" t="s">
        <v>1459</v>
      </c>
      <c r="C542" s="21">
        <v>0.08</v>
      </c>
      <c r="D542" s="21">
        <v>0.08</v>
      </c>
      <c r="E542" s="21">
        <v>0.01</v>
      </c>
      <c r="F542" s="22">
        <v>30.0</v>
      </c>
      <c r="G542" s="23"/>
      <c r="H542" s="24" t="s">
        <v>1428</v>
      </c>
      <c r="I542" s="21" t="s">
        <v>1445</v>
      </c>
      <c r="J542" s="24" t="s">
        <v>1460</v>
      </c>
      <c r="K542" s="21" t="s">
        <v>1461</v>
      </c>
      <c r="L542" s="25" t="s">
        <v>1462</v>
      </c>
      <c r="M542" s="26" t="s">
        <v>28</v>
      </c>
      <c r="N542" s="24" t="s">
        <v>1433</v>
      </c>
      <c r="O542" s="24" t="s">
        <v>1450</v>
      </c>
      <c r="P542" s="27"/>
      <c r="Q542" s="27"/>
      <c r="R542" s="28" t="s">
        <v>1463</v>
      </c>
      <c r="S542" s="8" t="s">
        <v>1464</v>
      </c>
      <c r="T542" s="29" t="s">
        <v>1445</v>
      </c>
      <c r="U542" s="24"/>
    </row>
    <row r="543">
      <c r="A543" s="30">
        <v>6.928542902818E12</v>
      </c>
      <c r="B543" s="20" t="s">
        <v>1453</v>
      </c>
      <c r="C543" s="21">
        <v>0.08</v>
      </c>
      <c r="D543" s="21">
        <v>0.08</v>
      </c>
      <c r="E543" s="21">
        <v>0.01</v>
      </c>
      <c r="F543" s="22">
        <v>30.0</v>
      </c>
      <c r="G543" s="23"/>
      <c r="H543" s="24" t="s">
        <v>1428</v>
      </c>
      <c r="I543" s="21" t="s">
        <v>1445</v>
      </c>
      <c r="J543" s="24" t="s">
        <v>1454</v>
      </c>
      <c r="K543" s="21" t="s">
        <v>1455</v>
      </c>
      <c r="L543" s="25" t="s">
        <v>1456</v>
      </c>
      <c r="M543" s="26" t="s">
        <v>28</v>
      </c>
      <c r="N543" s="24" t="s">
        <v>1433</v>
      </c>
      <c r="O543" s="24" t="s">
        <v>1450</v>
      </c>
      <c r="P543" s="27"/>
      <c r="Q543" s="27"/>
      <c r="R543" s="28" t="s">
        <v>1457</v>
      </c>
      <c r="S543" s="8" t="s">
        <v>1458</v>
      </c>
      <c r="T543" s="29" t="s">
        <v>1445</v>
      </c>
      <c r="U543" s="24"/>
    </row>
    <row r="544">
      <c r="A544" s="30">
        <v>7.290115200027E12</v>
      </c>
      <c r="B544" s="20" t="s">
        <v>3438</v>
      </c>
      <c r="C544" s="21">
        <v>0.235</v>
      </c>
      <c r="D544" s="21">
        <v>0.105</v>
      </c>
      <c r="E544" s="21">
        <v>0.045</v>
      </c>
      <c r="F544" s="22">
        <v>7.0</v>
      </c>
      <c r="G544" s="23"/>
      <c r="H544" s="24" t="s">
        <v>3439</v>
      </c>
      <c r="I544" s="21" t="s">
        <v>3440</v>
      </c>
      <c r="J544" s="24" t="s">
        <v>3441</v>
      </c>
      <c r="K544" s="21" t="s">
        <v>3442</v>
      </c>
      <c r="L544" s="25" t="s">
        <v>3443</v>
      </c>
      <c r="M544" s="26" t="s">
        <v>28</v>
      </c>
      <c r="N544" s="24" t="s">
        <v>3439</v>
      </c>
      <c r="O544" s="24" t="s">
        <v>3444</v>
      </c>
      <c r="P544" s="27"/>
      <c r="Q544" s="27"/>
      <c r="R544" s="28" t="s">
        <v>3445</v>
      </c>
      <c r="S544" s="8" t="s">
        <v>3446</v>
      </c>
      <c r="T544" s="29" t="s">
        <v>3447</v>
      </c>
      <c r="U544" s="24"/>
    </row>
    <row r="545">
      <c r="A545" s="30">
        <v>7.290000074184E12</v>
      </c>
      <c r="B545" s="20" t="s">
        <v>3448</v>
      </c>
      <c r="C545" s="21">
        <v>0.19</v>
      </c>
      <c r="D545" s="21">
        <v>0.075</v>
      </c>
      <c r="E545" s="21">
        <v>0.045</v>
      </c>
      <c r="F545" s="22">
        <v>7.0</v>
      </c>
      <c r="G545" s="23"/>
      <c r="H545" s="24" t="s">
        <v>3439</v>
      </c>
      <c r="I545" s="21" t="s">
        <v>3440</v>
      </c>
      <c r="J545" s="24" t="s">
        <v>3449</v>
      </c>
      <c r="K545" s="21" t="s">
        <v>3450</v>
      </c>
      <c r="L545" s="25" t="s">
        <v>3451</v>
      </c>
      <c r="M545" s="26" t="s">
        <v>37</v>
      </c>
      <c r="N545" s="24" t="s">
        <v>3439</v>
      </c>
      <c r="O545" s="24" t="s">
        <v>3444</v>
      </c>
      <c r="P545" s="27"/>
      <c r="Q545" s="27"/>
      <c r="R545" s="28" t="s">
        <v>3452</v>
      </c>
      <c r="S545" s="8" t="s">
        <v>3453</v>
      </c>
      <c r="T545" s="29" t="e">
        <v>#N/A</v>
      </c>
      <c r="U545" s="24"/>
    </row>
    <row r="546">
      <c r="A546" s="30">
        <v>7.290112492357E12</v>
      </c>
      <c r="B546" s="20" t="s">
        <v>3283</v>
      </c>
      <c r="C546" s="21">
        <v>0.09999999</v>
      </c>
      <c r="D546" s="21">
        <v>0.09</v>
      </c>
      <c r="E546" s="21">
        <v>0.09999999</v>
      </c>
      <c r="F546" s="22">
        <v>3.0</v>
      </c>
      <c r="G546" s="23"/>
      <c r="H546" s="24" t="s">
        <v>5241</v>
      </c>
      <c r="I546" s="21" t="s">
        <v>3274</v>
      </c>
      <c r="J546" s="24" t="s">
        <v>3284</v>
      </c>
      <c r="K546" s="21" t="s">
        <v>3285</v>
      </c>
      <c r="L546" s="25" t="s">
        <v>3286</v>
      </c>
      <c r="M546" s="26" t="s">
        <v>28</v>
      </c>
      <c r="N546" s="24" t="s">
        <v>954</v>
      </c>
      <c r="O546" s="24" t="s">
        <v>3287</v>
      </c>
      <c r="P546" s="27"/>
      <c r="Q546" s="27"/>
      <c r="R546" s="31" t="s">
        <v>3288</v>
      </c>
      <c r="S546" s="33" t="s">
        <v>3289</v>
      </c>
      <c r="T546" s="29" t="s">
        <v>3290</v>
      </c>
      <c r="U546" s="24"/>
    </row>
    <row r="547">
      <c r="A547" s="30">
        <v>7.290112492258E12</v>
      </c>
      <c r="B547" s="20" t="s">
        <v>3291</v>
      </c>
      <c r="C547" s="21">
        <v>0.09999999</v>
      </c>
      <c r="D547" s="21">
        <v>0.09</v>
      </c>
      <c r="E547" s="21">
        <v>0.09999999</v>
      </c>
      <c r="F547" s="22">
        <v>3.0</v>
      </c>
      <c r="G547" s="23"/>
      <c r="H547" s="24" t="s">
        <v>5241</v>
      </c>
      <c r="I547" s="21" t="s">
        <v>3274</v>
      </c>
      <c r="J547" s="24" t="s">
        <v>3292</v>
      </c>
      <c r="K547" s="21" t="s">
        <v>3293</v>
      </c>
      <c r="L547" s="25" t="s">
        <v>3294</v>
      </c>
      <c r="M547" s="26" t="s">
        <v>28</v>
      </c>
      <c r="N547" s="24" t="s">
        <v>954</v>
      </c>
      <c r="O547" s="24" t="s">
        <v>3295</v>
      </c>
      <c r="P547" s="27"/>
      <c r="Q547" s="27"/>
      <c r="R547" s="31" t="s">
        <v>3296</v>
      </c>
      <c r="S547" s="33" t="s">
        <v>3297</v>
      </c>
      <c r="T547" s="29" t="s">
        <v>3290</v>
      </c>
      <c r="U547" s="24"/>
    </row>
    <row r="548">
      <c r="A548" s="30">
        <v>7.290112496287E12</v>
      </c>
      <c r="B548" s="20" t="s">
        <v>3310</v>
      </c>
      <c r="C548" s="21">
        <v>0.09999999</v>
      </c>
      <c r="D548" s="21">
        <v>0.14</v>
      </c>
      <c r="E548" s="21">
        <v>0.045</v>
      </c>
      <c r="F548" s="22">
        <v>7.0</v>
      </c>
      <c r="G548" s="23"/>
      <c r="H548" s="24" t="s">
        <v>5241</v>
      </c>
      <c r="I548" s="21" t="s">
        <v>3274</v>
      </c>
      <c r="J548" s="24" t="s">
        <v>3311</v>
      </c>
      <c r="K548" s="21" t="s">
        <v>3312</v>
      </c>
      <c r="L548" s="25" t="s">
        <v>3313</v>
      </c>
      <c r="M548" s="26" t="s">
        <v>28</v>
      </c>
      <c r="N548" s="24" t="s">
        <v>954</v>
      </c>
      <c r="O548" s="24" t="s">
        <v>3279</v>
      </c>
      <c r="P548" s="27"/>
      <c r="Q548" s="27"/>
      <c r="R548" s="31" t="s">
        <v>3314</v>
      </c>
      <c r="S548" s="33" t="s">
        <v>3315</v>
      </c>
      <c r="T548" s="29" t="s">
        <v>3282</v>
      </c>
      <c r="U548" s="24"/>
    </row>
    <row r="549">
      <c r="A549" s="30">
        <v>7.290112496294E12</v>
      </c>
      <c r="B549" s="20" t="s">
        <v>3272</v>
      </c>
      <c r="C549" s="21">
        <v>0.09999999</v>
      </c>
      <c r="D549" s="21">
        <v>0.14</v>
      </c>
      <c r="E549" s="21">
        <v>0.045</v>
      </c>
      <c r="F549" s="22">
        <v>7.0</v>
      </c>
      <c r="G549" s="23"/>
      <c r="H549" s="24" t="s">
        <v>5241</v>
      </c>
      <c r="I549" s="21" t="s">
        <v>3274</v>
      </c>
      <c r="J549" s="24" t="s">
        <v>3276</v>
      </c>
      <c r="K549" s="21" t="s">
        <v>3277</v>
      </c>
      <c r="L549" s="25" t="s">
        <v>3278</v>
      </c>
      <c r="M549" s="26" t="s">
        <v>28</v>
      </c>
      <c r="N549" s="24" t="s">
        <v>954</v>
      </c>
      <c r="O549" s="24" t="s">
        <v>3279</v>
      </c>
      <c r="P549" s="27"/>
      <c r="Q549" s="27"/>
      <c r="R549" s="31" t="s">
        <v>3280</v>
      </c>
      <c r="S549" s="33" t="s">
        <v>3281</v>
      </c>
      <c r="T549" s="29" t="s">
        <v>3282</v>
      </c>
      <c r="U549" s="24"/>
    </row>
    <row r="550">
      <c r="A550" s="30">
        <v>7.29011249627E12</v>
      </c>
      <c r="B550" s="20" t="s">
        <v>3304</v>
      </c>
      <c r="C550" s="21">
        <v>0.09999999</v>
      </c>
      <c r="D550" s="21">
        <v>0.14</v>
      </c>
      <c r="E550" s="21">
        <v>0.045</v>
      </c>
      <c r="F550" s="22">
        <v>7.0</v>
      </c>
      <c r="G550" s="23"/>
      <c r="H550" s="24" t="s">
        <v>5241</v>
      </c>
      <c r="I550" s="21" t="s">
        <v>3274</v>
      </c>
      <c r="J550" s="24" t="s">
        <v>3305</v>
      </c>
      <c r="K550" s="21" t="s">
        <v>3306</v>
      </c>
      <c r="L550" s="25" t="s">
        <v>3307</v>
      </c>
      <c r="M550" s="26" t="s">
        <v>28</v>
      </c>
      <c r="N550" s="24" t="s">
        <v>954</v>
      </c>
      <c r="O550" s="24" t="s">
        <v>3279</v>
      </c>
      <c r="P550" s="27"/>
      <c r="Q550" s="27"/>
      <c r="R550" s="28" t="s">
        <v>3308</v>
      </c>
      <c r="S550" s="8" t="s">
        <v>3309</v>
      </c>
      <c r="T550" s="29" t="s">
        <v>3282</v>
      </c>
      <c r="U550" s="24"/>
    </row>
    <row r="551">
      <c r="A551" s="30">
        <v>7.290112495976E12</v>
      </c>
      <c r="B551" s="20" t="s">
        <v>3298</v>
      </c>
      <c r="C551" s="21">
        <v>0.09999999</v>
      </c>
      <c r="D551" s="21">
        <v>0.09999999</v>
      </c>
      <c r="E551" s="21">
        <v>0.07</v>
      </c>
      <c r="F551" s="22">
        <v>4.0</v>
      </c>
      <c r="G551" s="23"/>
      <c r="H551" s="24" t="s">
        <v>5241</v>
      </c>
      <c r="I551" s="21" t="s">
        <v>3274</v>
      </c>
      <c r="J551" s="24" t="s">
        <v>3299</v>
      </c>
      <c r="K551" s="21" t="s">
        <v>3300</v>
      </c>
      <c r="L551" s="25" t="s">
        <v>3301</v>
      </c>
      <c r="M551" s="26" t="s">
        <v>28</v>
      </c>
      <c r="N551" s="24" t="s">
        <v>954</v>
      </c>
      <c r="O551" s="24" t="s">
        <v>1303</v>
      </c>
      <c r="P551" s="27"/>
      <c r="Q551" s="27"/>
      <c r="R551" s="28" t="s">
        <v>3302</v>
      </c>
      <c r="S551" s="8" t="s">
        <v>3303</v>
      </c>
      <c r="T551" s="29" t="s">
        <v>3290</v>
      </c>
      <c r="U551" s="24"/>
    </row>
    <row r="552">
      <c r="A552" s="30">
        <v>5.410769800097E12</v>
      </c>
      <c r="B552" s="20" t="s">
        <v>610</v>
      </c>
      <c r="C552" s="21">
        <v>0.06</v>
      </c>
      <c r="D552" s="21">
        <v>0.158</v>
      </c>
      <c r="E552" s="21">
        <v>0.06</v>
      </c>
      <c r="F552" s="22">
        <v>5.0</v>
      </c>
      <c r="G552" s="23"/>
      <c r="H552" s="24" t="s">
        <v>611</v>
      </c>
      <c r="I552" s="21" t="s">
        <v>612</v>
      </c>
      <c r="J552" s="24" t="s">
        <v>613</v>
      </c>
      <c r="K552" s="21" t="s">
        <v>614</v>
      </c>
      <c r="L552" s="25" t="s">
        <v>615</v>
      </c>
      <c r="M552" s="26" t="s">
        <v>28</v>
      </c>
      <c r="N552" s="24" t="s">
        <v>365</v>
      </c>
      <c r="O552" s="24" t="s">
        <v>536</v>
      </c>
      <c r="P552" s="27"/>
      <c r="Q552" s="27"/>
      <c r="R552" s="28" t="s">
        <v>616</v>
      </c>
      <c r="S552" s="8" t="s">
        <v>617</v>
      </c>
      <c r="T552" s="29" t="s">
        <v>618</v>
      </c>
      <c r="U552" s="24"/>
    </row>
    <row r="553">
      <c r="A553" s="30">
        <v>7.290106660649E12</v>
      </c>
      <c r="B553" s="20" t="s">
        <v>605</v>
      </c>
      <c r="C553" s="21">
        <v>0.14</v>
      </c>
      <c r="D553" s="21">
        <v>0.18</v>
      </c>
      <c r="E553" s="21">
        <v>0.06</v>
      </c>
      <c r="F553" s="22">
        <v>5.0</v>
      </c>
      <c r="G553" s="23"/>
      <c r="H553" s="24" t="s">
        <v>598</v>
      </c>
      <c r="I553" s="21" t="s">
        <v>599</v>
      </c>
      <c r="J553" s="24" t="s">
        <v>606</v>
      </c>
      <c r="K553" s="21" t="s">
        <v>607</v>
      </c>
      <c r="L553" s="25" t="s">
        <v>608</v>
      </c>
      <c r="M553" s="26" t="s">
        <v>28</v>
      </c>
      <c r="N553" s="24" t="s">
        <v>109</v>
      </c>
      <c r="O553" s="24" t="s">
        <v>603</v>
      </c>
      <c r="P553" s="27"/>
      <c r="Q553" s="27"/>
      <c r="R553" s="31" t="s">
        <v>609</v>
      </c>
      <c r="S553" s="33" t="s">
        <v>608</v>
      </c>
      <c r="T553" s="29" t="s">
        <v>599</v>
      </c>
      <c r="U553" s="21" t="s">
        <v>113</v>
      </c>
    </row>
    <row r="554">
      <c r="A554" s="30">
        <v>7.290106720626E12</v>
      </c>
      <c r="B554" s="20" t="s">
        <v>597</v>
      </c>
      <c r="C554" s="21">
        <v>0.14</v>
      </c>
      <c r="D554" s="21">
        <v>0.18</v>
      </c>
      <c r="E554" s="21">
        <v>0.06</v>
      </c>
      <c r="F554" s="22">
        <v>5.0</v>
      </c>
      <c r="G554" s="23"/>
      <c r="H554" s="24" t="s">
        <v>598</v>
      </c>
      <c r="I554" s="21" t="s">
        <v>599</v>
      </c>
      <c r="J554" s="24" t="s">
        <v>600</v>
      </c>
      <c r="K554" s="21" t="s">
        <v>601</v>
      </c>
      <c r="L554" s="25" t="s">
        <v>602</v>
      </c>
      <c r="M554" s="26" t="s">
        <v>28</v>
      </c>
      <c r="N554" s="24" t="s">
        <v>109</v>
      </c>
      <c r="O554" s="24" t="s">
        <v>603</v>
      </c>
      <c r="P554" s="27"/>
      <c r="Q554" s="27"/>
      <c r="R554" s="31" t="s">
        <v>604</v>
      </c>
      <c r="S554" s="33" t="s">
        <v>602</v>
      </c>
      <c r="T554" s="29" t="s">
        <v>599</v>
      </c>
      <c r="U554" s="21" t="s">
        <v>113</v>
      </c>
    </row>
    <row r="555">
      <c r="A555" s="30">
        <v>2043782.0</v>
      </c>
      <c r="B555" s="20" t="s">
        <v>3685</v>
      </c>
      <c r="C555" s="21">
        <v>0.13</v>
      </c>
      <c r="D555" s="21">
        <v>0.17</v>
      </c>
      <c r="E555" s="21">
        <v>0.03</v>
      </c>
      <c r="F555" s="22">
        <v>10.0</v>
      </c>
      <c r="G555" s="23"/>
      <c r="H555" s="24" t="s">
        <v>5242</v>
      </c>
      <c r="I555" s="21" t="s">
        <v>3617</v>
      </c>
      <c r="J555" s="24" t="s">
        <v>3686</v>
      </c>
      <c r="K555" s="21" t="s">
        <v>3687</v>
      </c>
      <c r="L555" s="25" t="s">
        <v>3688</v>
      </c>
      <c r="M555" s="26" t="s">
        <v>28</v>
      </c>
      <c r="N555" s="24" t="s">
        <v>954</v>
      </c>
      <c r="O555" s="24" t="s">
        <v>1303</v>
      </c>
      <c r="P555" s="27"/>
      <c r="Q555" s="27"/>
      <c r="R555" s="28" t="s">
        <v>3689</v>
      </c>
      <c r="S555" s="8" t="s">
        <v>3690</v>
      </c>
      <c r="T555" s="29" t="s">
        <v>3623</v>
      </c>
      <c r="U555" s="24"/>
    </row>
    <row r="556">
      <c r="A556" s="30">
        <v>2043188.0</v>
      </c>
      <c r="B556" s="20" t="s">
        <v>3679</v>
      </c>
      <c r="C556" s="21">
        <v>0.13</v>
      </c>
      <c r="D556" s="21">
        <v>0.17</v>
      </c>
      <c r="E556" s="21">
        <v>0.03</v>
      </c>
      <c r="F556" s="22">
        <v>10.0</v>
      </c>
      <c r="G556" s="23"/>
      <c r="H556" s="24" t="s">
        <v>5242</v>
      </c>
      <c r="I556" s="21" t="s">
        <v>3617</v>
      </c>
      <c r="J556" s="24" t="s">
        <v>3680</v>
      </c>
      <c r="K556" s="21" t="s">
        <v>3681</v>
      </c>
      <c r="L556" s="25" t="s">
        <v>3682</v>
      </c>
      <c r="M556" s="26" t="s">
        <v>28</v>
      </c>
      <c r="N556" s="24" t="s">
        <v>954</v>
      </c>
      <c r="O556" s="24" t="s">
        <v>1303</v>
      </c>
      <c r="P556" s="27"/>
      <c r="Q556" s="27"/>
      <c r="R556" s="28" t="s">
        <v>3683</v>
      </c>
      <c r="S556" s="8" t="s">
        <v>3684</v>
      </c>
      <c r="T556" s="29" t="s">
        <v>3623</v>
      </c>
      <c r="U556" s="24"/>
    </row>
    <row r="557">
      <c r="A557" s="30">
        <v>7.290011194246E12</v>
      </c>
      <c r="B557" s="20" t="s">
        <v>5243</v>
      </c>
      <c r="C557" s="21">
        <v>0.09</v>
      </c>
      <c r="D557" s="21">
        <v>0.07</v>
      </c>
      <c r="E557" s="21">
        <v>0.095</v>
      </c>
      <c r="F557" s="22">
        <v>3.0</v>
      </c>
      <c r="G557" s="23"/>
      <c r="H557" s="24" t="s">
        <v>5244</v>
      </c>
      <c r="I557" s="21" t="s">
        <v>5245</v>
      </c>
      <c r="J557" s="24" t="s">
        <v>930</v>
      </c>
      <c r="K557" s="21" t="s">
        <v>931</v>
      </c>
      <c r="L557" s="25" t="s">
        <v>932</v>
      </c>
      <c r="M557" s="26" t="s">
        <v>28</v>
      </c>
      <c r="N557" s="24" t="s">
        <v>933</v>
      </c>
      <c r="O557" s="24" t="s">
        <v>934</v>
      </c>
      <c r="P557" s="27"/>
      <c r="Q557" s="27"/>
      <c r="R557" s="28" t="s">
        <v>935</v>
      </c>
      <c r="S557" s="8" t="s">
        <v>936</v>
      </c>
      <c r="T557" s="29" t="s">
        <v>937</v>
      </c>
      <c r="U557" s="24"/>
    </row>
    <row r="558">
      <c r="A558" s="30">
        <v>4127329.0</v>
      </c>
      <c r="B558" s="20" t="s">
        <v>5246</v>
      </c>
      <c r="C558" s="21">
        <v>0.09</v>
      </c>
      <c r="D558" s="21">
        <v>0.09</v>
      </c>
      <c r="E558" s="21">
        <v>0.08</v>
      </c>
      <c r="F558" s="22">
        <v>4.0</v>
      </c>
      <c r="G558" s="23"/>
      <c r="H558" s="24" t="s">
        <v>5244</v>
      </c>
      <c r="I558" s="21" t="s">
        <v>5245</v>
      </c>
      <c r="J558" s="24" t="s">
        <v>941</v>
      </c>
      <c r="K558" s="21" t="s">
        <v>942</v>
      </c>
      <c r="L558" s="25" t="s">
        <v>943</v>
      </c>
      <c r="M558" s="26" t="s">
        <v>28</v>
      </c>
      <c r="N558" s="24" t="s">
        <v>933</v>
      </c>
      <c r="O558" s="24" t="s">
        <v>934</v>
      </c>
      <c r="P558" s="27"/>
      <c r="Q558" s="27"/>
      <c r="R558" s="28" t="s">
        <v>944</v>
      </c>
      <c r="S558" s="8" t="s">
        <v>945</v>
      </c>
      <c r="T558" s="29" t="s">
        <v>946</v>
      </c>
      <c r="U558" s="24"/>
    </row>
    <row r="559">
      <c r="A559" s="30">
        <v>7.29001101788E12</v>
      </c>
      <c r="B559" s="20" t="s">
        <v>867</v>
      </c>
      <c r="C559" s="21">
        <v>0.057</v>
      </c>
      <c r="D559" s="21">
        <v>0.14</v>
      </c>
      <c r="E559" s="21">
        <v>0.057</v>
      </c>
      <c r="F559" s="22">
        <v>5.0</v>
      </c>
      <c r="G559" s="23"/>
      <c r="H559" s="24" t="s">
        <v>794</v>
      </c>
      <c r="I559" s="21" t="s">
        <v>795</v>
      </c>
      <c r="J559" s="24" t="s">
        <v>868</v>
      </c>
      <c r="K559" s="21" t="s">
        <v>869</v>
      </c>
      <c r="L559" s="25" t="s">
        <v>870</v>
      </c>
      <c r="M559" s="26" t="s">
        <v>28</v>
      </c>
      <c r="N559" s="24" t="s">
        <v>814</v>
      </c>
      <c r="O559" s="24" t="s">
        <v>840</v>
      </c>
      <c r="P559" s="27"/>
      <c r="Q559" s="27"/>
      <c r="R559" s="31" t="s">
        <v>871</v>
      </c>
      <c r="S559" s="8" t="s">
        <v>872</v>
      </c>
      <c r="T559" s="29" t="s">
        <v>795</v>
      </c>
      <c r="U559" s="24"/>
    </row>
    <row r="560">
      <c r="A560" s="30">
        <v>7.290011017873E12</v>
      </c>
      <c r="B560" s="20" t="s">
        <v>836</v>
      </c>
      <c r="C560" s="21">
        <v>0.057</v>
      </c>
      <c r="D560" s="21">
        <v>0.14</v>
      </c>
      <c r="E560" s="21">
        <v>0.057</v>
      </c>
      <c r="F560" s="22">
        <v>5.0</v>
      </c>
      <c r="G560" s="23"/>
      <c r="H560" s="24" t="s">
        <v>794</v>
      </c>
      <c r="I560" s="21" t="s">
        <v>795</v>
      </c>
      <c r="J560" s="24" t="s">
        <v>837</v>
      </c>
      <c r="K560" s="21" t="s">
        <v>838</v>
      </c>
      <c r="L560" s="25" t="s">
        <v>839</v>
      </c>
      <c r="M560" s="26" t="s">
        <v>28</v>
      </c>
      <c r="N560" s="24" t="s">
        <v>814</v>
      </c>
      <c r="O560" s="24" t="s">
        <v>840</v>
      </c>
      <c r="P560" s="27"/>
      <c r="Q560" s="27"/>
      <c r="R560" s="31" t="s">
        <v>841</v>
      </c>
      <c r="S560" s="33" t="s">
        <v>842</v>
      </c>
      <c r="T560" s="29" t="s">
        <v>795</v>
      </c>
      <c r="U560" s="24"/>
    </row>
    <row r="561">
      <c r="A561" s="30">
        <v>7.290008909853E12</v>
      </c>
      <c r="B561" s="20" t="s">
        <v>855</v>
      </c>
      <c r="C561" s="21">
        <v>0.065</v>
      </c>
      <c r="D561" s="21">
        <v>0.24</v>
      </c>
      <c r="E561" s="21">
        <v>0.065</v>
      </c>
      <c r="F561" s="22">
        <v>5.0</v>
      </c>
      <c r="G561" s="23"/>
      <c r="H561" s="24" t="s">
        <v>794</v>
      </c>
      <c r="I561" s="21" t="s">
        <v>795</v>
      </c>
      <c r="J561" s="24" t="s">
        <v>856</v>
      </c>
      <c r="K561" s="21" t="s">
        <v>857</v>
      </c>
      <c r="L561" s="25" t="s">
        <v>858</v>
      </c>
      <c r="M561" s="26" t="s">
        <v>37</v>
      </c>
      <c r="N561" s="24" t="s">
        <v>814</v>
      </c>
      <c r="O561" s="24" t="s">
        <v>840</v>
      </c>
      <c r="P561" s="27"/>
      <c r="Q561" s="27"/>
      <c r="R561" s="28" t="s">
        <v>859</v>
      </c>
      <c r="S561" s="8" t="s">
        <v>860</v>
      </c>
      <c r="T561" s="29" t="e">
        <v>#N/A</v>
      </c>
      <c r="U561" s="24"/>
    </row>
    <row r="562">
      <c r="A562" s="30">
        <v>7.290001594186E12</v>
      </c>
      <c r="B562" s="20" t="s">
        <v>861</v>
      </c>
      <c r="C562" s="21">
        <v>0.065</v>
      </c>
      <c r="D562" s="21">
        <v>0.24</v>
      </c>
      <c r="E562" s="21">
        <v>0.065</v>
      </c>
      <c r="F562" s="22">
        <v>5.0</v>
      </c>
      <c r="G562" s="23"/>
      <c r="H562" s="24" t="s">
        <v>794</v>
      </c>
      <c r="I562" s="21" t="s">
        <v>795</v>
      </c>
      <c r="J562" s="24" t="s">
        <v>862</v>
      </c>
      <c r="K562" s="21" t="s">
        <v>863</v>
      </c>
      <c r="L562" s="25" t="s">
        <v>864</v>
      </c>
      <c r="M562" s="26" t="s">
        <v>37</v>
      </c>
      <c r="N562" s="24" t="s">
        <v>814</v>
      </c>
      <c r="O562" s="24" t="s">
        <v>840</v>
      </c>
      <c r="P562" s="27"/>
      <c r="Q562" s="27"/>
      <c r="R562" s="28" t="s">
        <v>865</v>
      </c>
      <c r="S562" s="8" t="s">
        <v>866</v>
      </c>
      <c r="T562" s="29" t="e">
        <v>#N/A</v>
      </c>
      <c r="U562" s="24"/>
    </row>
    <row r="563">
      <c r="A563" s="30">
        <v>7.290008909884E12</v>
      </c>
      <c r="B563" s="20" t="s">
        <v>843</v>
      </c>
      <c r="C563" s="21">
        <v>0.058</v>
      </c>
      <c r="D563" s="21">
        <v>0.212</v>
      </c>
      <c r="E563" s="21">
        <v>0.058</v>
      </c>
      <c r="F563" s="22">
        <v>5.0</v>
      </c>
      <c r="G563" s="23"/>
      <c r="H563" s="24" t="s">
        <v>794</v>
      </c>
      <c r="I563" s="21" t="s">
        <v>795</v>
      </c>
      <c r="J563" s="24" t="s">
        <v>844</v>
      </c>
      <c r="K563" s="21" t="s">
        <v>845</v>
      </c>
      <c r="L563" s="25" t="s">
        <v>846</v>
      </c>
      <c r="M563" s="26" t="s">
        <v>37</v>
      </c>
      <c r="N563" s="24" t="s">
        <v>814</v>
      </c>
      <c r="O563" s="24" t="s">
        <v>840</v>
      </c>
      <c r="P563" s="27"/>
      <c r="Q563" s="27"/>
      <c r="R563" s="31" t="s">
        <v>847</v>
      </c>
      <c r="S563" s="8" t="s">
        <v>848</v>
      </c>
      <c r="T563" s="29" t="e">
        <v>#N/A</v>
      </c>
      <c r="U563" s="24"/>
    </row>
    <row r="564">
      <c r="A564" s="30">
        <v>7.290013585387E12</v>
      </c>
      <c r="B564" s="20" t="s">
        <v>830</v>
      </c>
      <c r="C564" s="21">
        <v>0.095</v>
      </c>
      <c r="D564" s="21">
        <v>0.28</v>
      </c>
      <c r="E564" s="21">
        <v>0.095</v>
      </c>
      <c r="F564" s="22">
        <v>3.0</v>
      </c>
      <c r="G564" s="23"/>
      <c r="H564" s="24" t="s">
        <v>794</v>
      </c>
      <c r="I564" s="21" t="s">
        <v>795</v>
      </c>
      <c r="J564" s="24" t="s">
        <v>831</v>
      </c>
      <c r="K564" s="21" t="s">
        <v>832</v>
      </c>
      <c r="L564" s="25" t="s">
        <v>833</v>
      </c>
      <c r="M564" s="26" t="s">
        <v>28</v>
      </c>
      <c r="N564" s="24" t="s">
        <v>814</v>
      </c>
      <c r="O564" s="24" t="s">
        <v>815</v>
      </c>
      <c r="P564" s="27"/>
      <c r="Q564" s="27"/>
      <c r="R564" s="28" t="s">
        <v>834</v>
      </c>
      <c r="S564" s="8" t="s">
        <v>835</v>
      </c>
      <c r="T564" s="29" t="s">
        <v>795</v>
      </c>
      <c r="U564" s="24"/>
    </row>
    <row r="565">
      <c r="A565" s="30">
        <v>7.29000890986E12</v>
      </c>
      <c r="B565" s="20" t="s">
        <v>849</v>
      </c>
      <c r="C565" s="21">
        <v>0.095</v>
      </c>
      <c r="D565" s="21">
        <v>0.333</v>
      </c>
      <c r="E565" s="21">
        <v>0.095</v>
      </c>
      <c r="F565" s="22">
        <v>3.0</v>
      </c>
      <c r="G565" s="23"/>
      <c r="H565" s="24" t="s">
        <v>794</v>
      </c>
      <c r="I565" s="21" t="s">
        <v>795</v>
      </c>
      <c r="J565" s="24" t="s">
        <v>850</v>
      </c>
      <c r="K565" s="21" t="s">
        <v>851</v>
      </c>
      <c r="L565" s="25" t="s">
        <v>852</v>
      </c>
      <c r="M565" s="26" t="s">
        <v>37</v>
      </c>
      <c r="N565" s="24" t="s">
        <v>814</v>
      </c>
      <c r="O565" s="24" t="s">
        <v>815</v>
      </c>
      <c r="P565" s="27"/>
      <c r="Q565" s="27"/>
      <c r="R565" s="31" t="s">
        <v>853</v>
      </c>
      <c r="S565" s="33" t="s">
        <v>854</v>
      </c>
      <c r="T565" s="29" t="e">
        <v>#N/A</v>
      </c>
      <c r="U565" s="24"/>
    </row>
    <row r="566">
      <c r="A566" s="30">
        <v>7.290000284316E12</v>
      </c>
      <c r="B566" s="20" t="s">
        <v>810</v>
      </c>
      <c r="C566" s="21">
        <v>0.095</v>
      </c>
      <c r="D566" s="21">
        <v>0.333</v>
      </c>
      <c r="E566" s="21">
        <v>0.095</v>
      </c>
      <c r="F566" s="22">
        <v>3.0</v>
      </c>
      <c r="G566" s="23"/>
      <c r="H566" s="24" t="s">
        <v>794</v>
      </c>
      <c r="I566" s="21" t="s">
        <v>795</v>
      </c>
      <c r="J566" s="24" t="s">
        <v>811</v>
      </c>
      <c r="K566" s="21" t="s">
        <v>812</v>
      </c>
      <c r="L566" s="25" t="s">
        <v>813</v>
      </c>
      <c r="M566" s="26" t="s">
        <v>37</v>
      </c>
      <c r="N566" s="24" t="s">
        <v>814</v>
      </c>
      <c r="O566" s="24" t="s">
        <v>815</v>
      </c>
      <c r="P566" s="27"/>
      <c r="Q566" s="27"/>
      <c r="R566" s="28" t="s">
        <v>816</v>
      </c>
      <c r="S566" s="8" t="s">
        <v>817</v>
      </c>
      <c r="T566" s="29" t="e">
        <v>#N/A</v>
      </c>
      <c r="U566" s="24"/>
    </row>
    <row r="567">
      <c r="A567" s="30">
        <v>7.290011017866E12</v>
      </c>
      <c r="B567" s="20" t="s">
        <v>818</v>
      </c>
      <c r="C567" s="21">
        <v>0.057</v>
      </c>
      <c r="D567" s="21">
        <v>0.14</v>
      </c>
      <c r="E567" s="21">
        <v>0.057</v>
      </c>
      <c r="F567" s="22">
        <v>5.0</v>
      </c>
      <c r="G567" s="23"/>
      <c r="H567" s="24" t="s">
        <v>794</v>
      </c>
      <c r="I567" s="21" t="s">
        <v>795</v>
      </c>
      <c r="J567" s="24" t="s">
        <v>819</v>
      </c>
      <c r="K567" s="21" t="s">
        <v>820</v>
      </c>
      <c r="L567" s="25" t="s">
        <v>821</v>
      </c>
      <c r="M567" s="26" t="s">
        <v>28</v>
      </c>
      <c r="N567" s="24" t="s">
        <v>799</v>
      </c>
      <c r="O567" s="24" t="s">
        <v>807</v>
      </c>
      <c r="P567" s="27"/>
      <c r="Q567" s="27"/>
      <c r="R567" s="31" t="s">
        <v>822</v>
      </c>
      <c r="S567" s="8" t="s">
        <v>823</v>
      </c>
      <c r="T567" s="29" t="s">
        <v>795</v>
      </c>
      <c r="U567" s="24"/>
    </row>
    <row r="568">
      <c r="A568" s="30">
        <v>7.290001594155E12</v>
      </c>
      <c r="B568" s="20" t="s">
        <v>824</v>
      </c>
      <c r="C568" s="21">
        <v>0.065</v>
      </c>
      <c r="D568" s="21">
        <v>0.24</v>
      </c>
      <c r="E568" s="21">
        <v>0.065</v>
      </c>
      <c r="F568" s="22">
        <v>5.0</v>
      </c>
      <c r="G568" s="23"/>
      <c r="H568" s="24" t="s">
        <v>794</v>
      </c>
      <c r="I568" s="21" t="s">
        <v>795</v>
      </c>
      <c r="J568" s="24" t="s">
        <v>825</v>
      </c>
      <c r="K568" s="21" t="s">
        <v>826</v>
      </c>
      <c r="L568" s="25" t="s">
        <v>827</v>
      </c>
      <c r="M568" s="26" t="s">
        <v>37</v>
      </c>
      <c r="N568" s="24" t="s">
        <v>799</v>
      </c>
      <c r="O568" s="24" t="s">
        <v>807</v>
      </c>
      <c r="P568" s="27"/>
      <c r="Q568" s="27"/>
      <c r="R568" s="31" t="s">
        <v>828</v>
      </c>
      <c r="S568" s="8" t="s">
        <v>829</v>
      </c>
      <c r="T568" s="29" t="e">
        <v>#N/A</v>
      </c>
      <c r="U568" s="24"/>
    </row>
    <row r="569">
      <c r="A569" s="30">
        <v>7.290001594025E12</v>
      </c>
      <c r="B569" s="20" t="s">
        <v>803</v>
      </c>
      <c r="C569" s="21">
        <v>0.058</v>
      </c>
      <c r="D569" s="21">
        <v>0.212</v>
      </c>
      <c r="E569" s="21">
        <v>0.058</v>
      </c>
      <c r="F569" s="22">
        <v>5.0</v>
      </c>
      <c r="G569" s="23"/>
      <c r="H569" s="24" t="s">
        <v>794</v>
      </c>
      <c r="I569" s="21" t="s">
        <v>795</v>
      </c>
      <c r="J569" s="24" t="s">
        <v>804</v>
      </c>
      <c r="K569" s="21" t="s">
        <v>805</v>
      </c>
      <c r="L569" s="25" t="s">
        <v>806</v>
      </c>
      <c r="M569" s="26" t="s">
        <v>37</v>
      </c>
      <c r="N569" s="24" t="s">
        <v>799</v>
      </c>
      <c r="O569" s="24" t="s">
        <v>807</v>
      </c>
      <c r="P569" s="27"/>
      <c r="Q569" s="27"/>
      <c r="R569" s="31" t="s">
        <v>808</v>
      </c>
      <c r="S569" s="8" t="s">
        <v>809</v>
      </c>
      <c r="T569" s="29" t="e">
        <v>#N/A</v>
      </c>
      <c r="U569" s="24"/>
    </row>
    <row r="570">
      <c r="A570" s="30">
        <v>7.290000284361E12</v>
      </c>
      <c r="B570" s="20" t="s">
        <v>873</v>
      </c>
      <c r="C570" s="21">
        <v>0.095</v>
      </c>
      <c r="D570" s="21">
        <v>0.333</v>
      </c>
      <c r="E570" s="21">
        <v>0.095</v>
      </c>
      <c r="F570" s="22">
        <v>3.0</v>
      </c>
      <c r="G570" s="23"/>
      <c r="H570" s="24" t="s">
        <v>794</v>
      </c>
      <c r="I570" s="21" t="s">
        <v>795</v>
      </c>
      <c r="J570" s="24" t="s">
        <v>874</v>
      </c>
      <c r="K570" s="21" t="s">
        <v>875</v>
      </c>
      <c r="L570" s="25" t="s">
        <v>876</v>
      </c>
      <c r="M570" s="26" t="s">
        <v>37</v>
      </c>
      <c r="N570" s="24" t="s">
        <v>814</v>
      </c>
      <c r="O570" s="24" t="s">
        <v>800</v>
      </c>
      <c r="P570" s="27"/>
      <c r="Q570" s="27"/>
      <c r="R570" s="28" t="s">
        <v>877</v>
      </c>
      <c r="S570" s="8" t="s">
        <v>878</v>
      </c>
      <c r="T570" s="29" t="e">
        <v>#N/A</v>
      </c>
      <c r="U570" s="24"/>
    </row>
    <row r="571">
      <c r="A571" s="30">
        <v>7.290013585394E12</v>
      </c>
      <c r="B571" s="20" t="s">
        <v>793</v>
      </c>
      <c r="C571" s="21">
        <v>0.095</v>
      </c>
      <c r="D571" s="21">
        <v>0.28</v>
      </c>
      <c r="E571" s="21">
        <v>0.095</v>
      </c>
      <c r="F571" s="22">
        <v>3.0</v>
      </c>
      <c r="G571" s="23"/>
      <c r="H571" s="24" t="s">
        <v>794</v>
      </c>
      <c r="I571" s="21" t="s">
        <v>795</v>
      </c>
      <c r="J571" s="24" t="s">
        <v>796</v>
      </c>
      <c r="K571" s="21" t="s">
        <v>797</v>
      </c>
      <c r="L571" s="25" t="s">
        <v>798</v>
      </c>
      <c r="M571" s="26" t="s">
        <v>28</v>
      </c>
      <c r="N571" s="24" t="s">
        <v>799</v>
      </c>
      <c r="O571" s="24" t="s">
        <v>800</v>
      </c>
      <c r="P571" s="27"/>
      <c r="Q571" s="27"/>
      <c r="R571" s="28" t="s">
        <v>801</v>
      </c>
      <c r="S571" s="8" t="s">
        <v>802</v>
      </c>
      <c r="T571" s="29" t="s">
        <v>795</v>
      </c>
      <c r="U571" s="24"/>
    </row>
    <row r="572">
      <c r="A572" s="30">
        <v>8.850161167041E12</v>
      </c>
      <c r="B572" s="20" t="s">
        <v>889</v>
      </c>
      <c r="C572" s="21">
        <v>0.055</v>
      </c>
      <c r="D572" s="21">
        <v>0.145</v>
      </c>
      <c r="E572" s="21">
        <v>0.055</v>
      </c>
      <c r="F572" s="22">
        <v>5.0</v>
      </c>
      <c r="G572" s="23"/>
      <c r="H572" s="24" t="s">
        <v>880</v>
      </c>
      <c r="I572" s="21" t="s">
        <v>881</v>
      </c>
      <c r="J572" s="24" t="s">
        <v>890</v>
      </c>
      <c r="K572" s="21" t="s">
        <v>891</v>
      </c>
      <c r="L572" s="25" t="s">
        <v>892</v>
      </c>
      <c r="M572" s="26" t="s">
        <v>28</v>
      </c>
      <c r="N572" s="24" t="s">
        <v>340</v>
      </c>
      <c r="O572" s="24" t="s">
        <v>885</v>
      </c>
      <c r="P572" s="27"/>
      <c r="Q572" s="27"/>
      <c r="R572" s="28" t="s">
        <v>893</v>
      </c>
      <c r="S572" s="8" t="s">
        <v>894</v>
      </c>
      <c r="T572" s="29" t="s">
        <v>895</v>
      </c>
      <c r="U572" s="24"/>
    </row>
    <row r="573">
      <c r="A573" s="30">
        <v>8.850161160851E12</v>
      </c>
      <c r="B573" s="20" t="s">
        <v>879</v>
      </c>
      <c r="C573" s="21">
        <v>0.06</v>
      </c>
      <c r="D573" s="21">
        <v>0.19</v>
      </c>
      <c r="E573" s="21">
        <v>0.06</v>
      </c>
      <c r="F573" s="22">
        <v>5.0</v>
      </c>
      <c r="G573" s="23"/>
      <c r="H573" s="24" t="s">
        <v>880</v>
      </c>
      <c r="I573" s="21" t="s">
        <v>881</v>
      </c>
      <c r="J573" s="24" t="s">
        <v>882</v>
      </c>
      <c r="K573" s="21" t="s">
        <v>883</v>
      </c>
      <c r="L573" s="25" t="s">
        <v>884</v>
      </c>
      <c r="M573" s="26" t="s">
        <v>28</v>
      </c>
      <c r="N573" s="24" t="s">
        <v>340</v>
      </c>
      <c r="O573" s="24" t="s">
        <v>885</v>
      </c>
      <c r="P573" s="27"/>
      <c r="Q573" s="27"/>
      <c r="R573" s="28" t="s">
        <v>886</v>
      </c>
      <c r="S573" s="8" t="s">
        <v>887</v>
      </c>
      <c r="T573" s="29" t="s">
        <v>888</v>
      </c>
      <c r="U573" s="24"/>
    </row>
    <row r="574">
      <c r="A574" s="30">
        <v>8.850161167065E12</v>
      </c>
      <c r="B574" s="20" t="s">
        <v>896</v>
      </c>
      <c r="C574" s="21">
        <v>0.055</v>
      </c>
      <c r="D574" s="21">
        <v>0.145</v>
      </c>
      <c r="E574" s="21">
        <v>0.055</v>
      </c>
      <c r="F574" s="22">
        <v>5.0</v>
      </c>
      <c r="G574" s="23"/>
      <c r="H574" s="24" t="s">
        <v>880</v>
      </c>
      <c r="I574" s="21" t="s">
        <v>881</v>
      </c>
      <c r="J574" s="24" t="s">
        <v>897</v>
      </c>
      <c r="K574" s="21" t="s">
        <v>898</v>
      </c>
      <c r="L574" s="25" t="s">
        <v>899</v>
      </c>
      <c r="M574" s="26" t="s">
        <v>28</v>
      </c>
      <c r="N574" s="24" t="s">
        <v>62</v>
      </c>
      <c r="O574" s="24" t="s">
        <v>63</v>
      </c>
      <c r="P574" s="27"/>
      <c r="Q574" s="27"/>
      <c r="R574" s="28" t="s">
        <v>900</v>
      </c>
      <c r="S574" s="8" t="s">
        <v>901</v>
      </c>
      <c r="T574" s="29" t="s">
        <v>895</v>
      </c>
      <c r="U574" s="24"/>
    </row>
    <row r="575">
      <c r="A575" s="30">
        <v>7.290002542506E12</v>
      </c>
      <c r="B575" s="20" t="s">
        <v>911</v>
      </c>
      <c r="C575" s="21">
        <v>0.058</v>
      </c>
      <c r="D575" s="21">
        <v>0.25</v>
      </c>
      <c r="E575" s="21">
        <v>0.058</v>
      </c>
      <c r="F575" s="22">
        <v>5.0</v>
      </c>
      <c r="G575" s="23"/>
      <c r="H575" s="24" t="s">
        <v>912</v>
      </c>
      <c r="I575" s="21" t="s">
        <v>913</v>
      </c>
      <c r="J575" s="24" t="s">
        <v>915</v>
      </c>
      <c r="K575" s="21" t="s">
        <v>916</v>
      </c>
      <c r="L575" s="25" t="s">
        <v>917</v>
      </c>
      <c r="M575" s="26" t="s">
        <v>37</v>
      </c>
      <c r="N575" s="24" t="s">
        <v>365</v>
      </c>
      <c r="O575" s="24" t="s">
        <v>536</v>
      </c>
      <c r="P575" s="27"/>
      <c r="Q575" s="27"/>
      <c r="R575" s="28" t="s">
        <v>918</v>
      </c>
      <c r="S575" s="8" t="s">
        <v>919</v>
      </c>
      <c r="T575" s="29" t="e">
        <v>#N/A</v>
      </c>
      <c r="U575" s="24"/>
    </row>
    <row r="576">
      <c r="A576" s="30">
        <v>7.50106419669E12</v>
      </c>
      <c r="B576" s="20" t="s">
        <v>920</v>
      </c>
      <c r="C576" s="21">
        <v>0.055</v>
      </c>
      <c r="D576" s="21">
        <v>0.16</v>
      </c>
      <c r="E576" s="21">
        <v>0.055</v>
      </c>
      <c r="F576" s="22">
        <v>5.0</v>
      </c>
      <c r="G576" s="23"/>
      <c r="H576" s="24" t="s">
        <v>912</v>
      </c>
      <c r="I576" s="21" t="s">
        <v>913</v>
      </c>
      <c r="J576" s="24" t="s">
        <v>921</v>
      </c>
      <c r="K576" s="21" t="s">
        <v>922</v>
      </c>
      <c r="L576" s="25" t="s">
        <v>923</v>
      </c>
      <c r="M576" s="26" t="s">
        <v>28</v>
      </c>
      <c r="N576" s="24" t="s">
        <v>365</v>
      </c>
      <c r="O576" s="24" t="s">
        <v>924</v>
      </c>
      <c r="P576" s="27"/>
      <c r="Q576" s="27"/>
      <c r="R576" s="28" t="s">
        <v>925</v>
      </c>
      <c r="S576" s="8" t="s">
        <v>926</v>
      </c>
      <c r="T576" s="29" t="s">
        <v>913</v>
      </c>
      <c r="U576" s="24"/>
    </row>
    <row r="577">
      <c r="A577" s="30">
        <v>4.0052403E7</v>
      </c>
      <c r="B577" s="20" t="s">
        <v>2169</v>
      </c>
      <c r="C577" s="21">
        <v>0.097</v>
      </c>
      <c r="D577" s="21">
        <v>0.064</v>
      </c>
      <c r="E577" s="21">
        <v>0.01</v>
      </c>
      <c r="F577" s="22">
        <v>30.0</v>
      </c>
      <c r="G577" s="23"/>
      <c r="H577" s="24" t="s">
        <v>2170</v>
      </c>
      <c r="I577" s="21" t="s">
        <v>2171</v>
      </c>
      <c r="J577" s="24" t="s">
        <v>2172</v>
      </c>
      <c r="K577" s="21" t="s">
        <v>2173</v>
      </c>
      <c r="L577" s="25" t="s">
        <v>2174</v>
      </c>
      <c r="M577" s="26" t="s">
        <v>28</v>
      </c>
      <c r="N577" s="24" t="s">
        <v>501</v>
      </c>
      <c r="O577" s="24" t="s">
        <v>502</v>
      </c>
      <c r="P577" s="27"/>
      <c r="Q577" s="27"/>
      <c r="R577" s="28" t="s">
        <v>2175</v>
      </c>
      <c r="S577" s="8" t="s">
        <v>2176</v>
      </c>
      <c r="T577" s="29" t="s">
        <v>2177</v>
      </c>
      <c r="U577" s="24"/>
    </row>
    <row r="578">
      <c r="A578" s="30">
        <v>3.800020491393E12</v>
      </c>
      <c r="B578" s="20" t="s">
        <v>2178</v>
      </c>
      <c r="C578" s="21">
        <v>0.12</v>
      </c>
      <c r="D578" s="21">
        <v>0.03</v>
      </c>
      <c r="E578" s="21">
        <v>0.018</v>
      </c>
      <c r="F578" s="22">
        <v>17.0</v>
      </c>
      <c r="G578" s="23"/>
      <c r="H578" s="24" t="s">
        <v>2170</v>
      </c>
      <c r="I578" s="21" t="s">
        <v>2171</v>
      </c>
      <c r="J578" s="24" t="s">
        <v>2179</v>
      </c>
      <c r="K578" s="21" t="s">
        <v>2180</v>
      </c>
      <c r="L578" s="25" t="s">
        <v>2181</v>
      </c>
      <c r="M578" s="26" t="s">
        <v>28</v>
      </c>
      <c r="N578" s="24" t="s">
        <v>501</v>
      </c>
      <c r="O578" s="24" t="s">
        <v>502</v>
      </c>
      <c r="P578" s="27"/>
      <c r="Q578" s="27"/>
      <c r="R578" s="28" t="s">
        <v>2182</v>
      </c>
      <c r="S578" s="33" t="s">
        <v>2183</v>
      </c>
      <c r="T578" s="29" t="s">
        <v>2177</v>
      </c>
      <c r="U578" s="24"/>
    </row>
    <row r="579">
      <c r="A579" s="30">
        <v>3.800020423578E12</v>
      </c>
      <c r="B579" s="20" t="s">
        <v>2184</v>
      </c>
      <c r="C579" s="21">
        <v>0.12</v>
      </c>
      <c r="D579" s="21">
        <v>0.03</v>
      </c>
      <c r="E579" s="21">
        <v>0.018</v>
      </c>
      <c r="F579" s="22">
        <v>17.0</v>
      </c>
      <c r="G579" s="23"/>
      <c r="H579" s="24" t="s">
        <v>2170</v>
      </c>
      <c r="I579" s="21" t="s">
        <v>2171</v>
      </c>
      <c r="J579" s="24" t="s">
        <v>2185</v>
      </c>
      <c r="K579" s="21" t="s">
        <v>2186</v>
      </c>
      <c r="L579" s="25" t="s">
        <v>2187</v>
      </c>
      <c r="M579" s="26" t="s">
        <v>28</v>
      </c>
      <c r="N579" s="24" t="s">
        <v>501</v>
      </c>
      <c r="O579" s="24" t="s">
        <v>502</v>
      </c>
      <c r="P579" s="27"/>
      <c r="Q579" s="27"/>
      <c r="R579" s="28" t="s">
        <v>2188</v>
      </c>
      <c r="S579" s="8" t="s">
        <v>2189</v>
      </c>
      <c r="T579" s="29" t="s">
        <v>2177</v>
      </c>
      <c r="U579" s="24"/>
    </row>
    <row r="580">
      <c r="A580" s="30">
        <v>3.80002041813E12</v>
      </c>
      <c r="B580" s="20" t="s">
        <v>2190</v>
      </c>
      <c r="C580" s="21">
        <v>0.12</v>
      </c>
      <c r="D580" s="21">
        <v>0.03</v>
      </c>
      <c r="E580" s="21">
        <v>0.018</v>
      </c>
      <c r="F580" s="22">
        <v>17.0</v>
      </c>
      <c r="G580" s="23"/>
      <c r="H580" s="24" t="s">
        <v>2170</v>
      </c>
      <c r="I580" s="21" t="s">
        <v>2171</v>
      </c>
      <c r="J580" s="24" t="s">
        <v>2191</v>
      </c>
      <c r="K580" s="21" t="s">
        <v>2192</v>
      </c>
      <c r="L580" s="25" t="s">
        <v>2193</v>
      </c>
      <c r="M580" s="26" t="s">
        <v>28</v>
      </c>
      <c r="N580" s="24" t="s">
        <v>501</v>
      </c>
      <c r="O580" s="24" t="s">
        <v>502</v>
      </c>
      <c r="P580" s="27"/>
      <c r="Q580" s="27"/>
      <c r="R580" s="28" t="s">
        <v>2194</v>
      </c>
      <c r="S580" s="8" t="s">
        <v>2195</v>
      </c>
      <c r="T580" s="29" t="s">
        <v>2177</v>
      </c>
      <c r="U580" s="24"/>
    </row>
    <row r="581">
      <c r="A581" s="30">
        <v>4.0084107E7</v>
      </c>
      <c r="B581" s="20" t="s">
        <v>2136</v>
      </c>
      <c r="C581" s="21">
        <v>0.045</v>
      </c>
      <c r="D581" s="21">
        <v>0.065</v>
      </c>
      <c r="E581" s="21">
        <v>0.045</v>
      </c>
      <c r="F581" s="22">
        <v>7.0</v>
      </c>
      <c r="G581" s="23"/>
      <c r="H581" s="24" t="s">
        <v>2099</v>
      </c>
      <c r="I581" s="21" t="s">
        <v>2100</v>
      </c>
      <c r="J581" s="24" t="s">
        <v>2137</v>
      </c>
      <c r="K581" s="21" t="s">
        <v>2138</v>
      </c>
      <c r="L581" s="25" t="s">
        <v>2139</v>
      </c>
      <c r="M581" s="26" t="s">
        <v>28</v>
      </c>
      <c r="N581" s="24" t="s">
        <v>1772</v>
      </c>
      <c r="O581" s="24" t="s">
        <v>2126</v>
      </c>
      <c r="P581" s="27"/>
      <c r="Q581" s="27"/>
      <c r="R581" s="28" t="s">
        <v>2140</v>
      </c>
      <c r="S581" s="33" t="s">
        <v>2141</v>
      </c>
      <c r="T581" s="29" t="s">
        <v>2129</v>
      </c>
      <c r="U581" s="24"/>
    </row>
    <row r="582">
      <c r="A582" s="30">
        <v>8.0768258E7</v>
      </c>
      <c r="B582" s="20" t="s">
        <v>2130</v>
      </c>
      <c r="C582" s="21">
        <v>0.05</v>
      </c>
      <c r="D582" s="21">
        <v>0.07</v>
      </c>
      <c r="E582" s="21">
        <v>0.055</v>
      </c>
      <c r="F582" s="22">
        <v>5.0</v>
      </c>
      <c r="G582" s="23"/>
      <c r="H582" s="24" t="s">
        <v>2099</v>
      </c>
      <c r="I582" s="21" t="s">
        <v>2100</v>
      </c>
      <c r="J582" s="24" t="s">
        <v>2131</v>
      </c>
      <c r="K582" s="21" t="s">
        <v>2132</v>
      </c>
      <c r="L582" s="25" t="s">
        <v>2133</v>
      </c>
      <c r="M582" s="26" t="s">
        <v>28</v>
      </c>
      <c r="N582" s="24" t="s">
        <v>1772</v>
      </c>
      <c r="O582" s="24" t="s">
        <v>2126</v>
      </c>
      <c r="P582" s="27"/>
      <c r="Q582" s="27"/>
      <c r="R582" s="28" t="s">
        <v>2134</v>
      </c>
      <c r="S582" s="8" t="s">
        <v>2135</v>
      </c>
      <c r="T582" s="29" t="s">
        <v>2129</v>
      </c>
      <c r="U582" s="24"/>
    </row>
    <row r="583">
      <c r="A583" s="30">
        <v>8.0974482E7</v>
      </c>
      <c r="B583" s="20" t="s">
        <v>2121</v>
      </c>
      <c r="C583" s="21">
        <v>0.05</v>
      </c>
      <c r="D583" s="21">
        <v>0.07</v>
      </c>
      <c r="E583" s="21">
        <v>0.055</v>
      </c>
      <c r="F583" s="22">
        <v>5.0</v>
      </c>
      <c r="G583" s="23"/>
      <c r="H583" s="24" t="s">
        <v>2099</v>
      </c>
      <c r="I583" s="21" t="s">
        <v>2100</v>
      </c>
      <c r="J583" s="24" t="s">
        <v>2123</v>
      </c>
      <c r="K583" s="21" t="s">
        <v>2124</v>
      </c>
      <c r="L583" s="25" t="s">
        <v>2125</v>
      </c>
      <c r="M583" s="26" t="s">
        <v>28</v>
      </c>
      <c r="N583" s="24" t="s">
        <v>1772</v>
      </c>
      <c r="O583" s="24" t="s">
        <v>2126</v>
      </c>
      <c r="P583" s="27"/>
      <c r="Q583" s="27"/>
      <c r="R583" s="28" t="s">
        <v>2127</v>
      </c>
      <c r="S583" s="8" t="s">
        <v>2128</v>
      </c>
      <c r="T583" s="29" t="s">
        <v>2129</v>
      </c>
      <c r="U583" s="24"/>
    </row>
    <row r="584">
      <c r="A584" s="30">
        <v>8.0761761E7</v>
      </c>
      <c r="B584" s="20" t="s">
        <v>2098</v>
      </c>
      <c r="C584" s="21">
        <v>0.155</v>
      </c>
      <c r="D584" s="21">
        <v>0.055</v>
      </c>
      <c r="E584" s="21">
        <v>0.02</v>
      </c>
      <c r="F584" s="22">
        <v>15.0</v>
      </c>
      <c r="G584" s="23"/>
      <c r="H584" s="24" t="s">
        <v>2099</v>
      </c>
      <c r="I584" s="21" t="s">
        <v>2100</v>
      </c>
      <c r="J584" s="24" t="s">
        <v>2101</v>
      </c>
      <c r="K584" s="21" t="s">
        <v>2102</v>
      </c>
      <c r="L584" s="25" t="s">
        <v>2103</v>
      </c>
      <c r="M584" s="26" t="s">
        <v>28</v>
      </c>
      <c r="N584" s="24" t="s">
        <v>501</v>
      </c>
      <c r="O584" s="24" t="s">
        <v>502</v>
      </c>
      <c r="P584" s="27"/>
      <c r="Q584" s="27"/>
      <c r="R584" s="28" t="s">
        <v>2104</v>
      </c>
      <c r="S584" s="8" t="s">
        <v>2105</v>
      </c>
      <c r="T584" s="29" t="s">
        <v>2106</v>
      </c>
      <c r="U584" s="24"/>
    </row>
    <row r="585">
      <c r="A585" s="30">
        <v>8.000500267035E12</v>
      </c>
      <c r="B585" s="20" t="s">
        <v>2114</v>
      </c>
      <c r="C585" s="21">
        <v>0.145</v>
      </c>
      <c r="D585" s="21">
        <v>0.065</v>
      </c>
      <c r="E585" s="21">
        <v>0.02</v>
      </c>
      <c r="F585" s="22">
        <v>15.0</v>
      </c>
      <c r="G585" s="23"/>
      <c r="H585" s="24" t="s">
        <v>2099</v>
      </c>
      <c r="I585" s="21" t="s">
        <v>2100</v>
      </c>
      <c r="J585" s="24" t="s">
        <v>2115</v>
      </c>
      <c r="K585" s="21" t="s">
        <v>2116</v>
      </c>
      <c r="L585" s="25" t="s">
        <v>2117</v>
      </c>
      <c r="M585" s="26" t="s">
        <v>28</v>
      </c>
      <c r="N585" s="24" t="s">
        <v>501</v>
      </c>
      <c r="O585" s="24" t="s">
        <v>502</v>
      </c>
      <c r="P585" s="27"/>
      <c r="Q585" s="27"/>
      <c r="R585" s="31" t="s">
        <v>2118</v>
      </c>
      <c r="S585" s="8" t="s">
        <v>2119</v>
      </c>
      <c r="T585" s="29" t="s">
        <v>2120</v>
      </c>
      <c r="U585" s="24"/>
    </row>
    <row r="586">
      <c r="A586" s="30">
        <v>8.017718E7</v>
      </c>
      <c r="B586" s="20" t="s">
        <v>2107</v>
      </c>
      <c r="C586" s="21">
        <v>0.04</v>
      </c>
      <c r="D586" s="21">
        <v>0.11</v>
      </c>
      <c r="E586" s="21">
        <v>0.01</v>
      </c>
      <c r="F586" s="22">
        <v>30.0</v>
      </c>
      <c r="G586" s="23"/>
      <c r="H586" s="24" t="s">
        <v>2099</v>
      </c>
      <c r="I586" s="21" t="s">
        <v>2100</v>
      </c>
      <c r="J586" s="24" t="s">
        <v>2108</v>
      </c>
      <c r="K586" s="21" t="s">
        <v>2109</v>
      </c>
      <c r="L586" s="25" t="s">
        <v>2110</v>
      </c>
      <c r="M586" s="26" t="s">
        <v>28</v>
      </c>
      <c r="N586" s="24" t="s">
        <v>1772</v>
      </c>
      <c r="O586" s="24" t="s">
        <v>1773</v>
      </c>
      <c r="P586" s="27"/>
      <c r="Q586" s="27"/>
      <c r="R586" s="28" t="s">
        <v>2111</v>
      </c>
      <c r="S586" s="8" t="s">
        <v>2112</v>
      </c>
      <c r="T586" s="29" t="s">
        <v>2113</v>
      </c>
      <c r="U586" s="24"/>
    </row>
    <row r="587">
      <c r="A587" s="30">
        <v>5.413548280189E12</v>
      </c>
      <c r="B587" s="20" t="s">
        <v>2146</v>
      </c>
      <c r="C587" s="21">
        <v>0.135</v>
      </c>
      <c r="D587" s="21">
        <v>0.165</v>
      </c>
      <c r="E587" s="21">
        <v>0.03</v>
      </c>
      <c r="F587" s="22">
        <v>10.0</v>
      </c>
      <c r="G587" s="23"/>
      <c r="H587" s="24" t="s">
        <v>2099</v>
      </c>
      <c r="I587" s="21" t="s">
        <v>2100</v>
      </c>
      <c r="J587" s="24" t="s">
        <v>2147</v>
      </c>
      <c r="K587" s="21" t="s">
        <v>2148</v>
      </c>
      <c r="L587" s="25" t="s">
        <v>2149</v>
      </c>
      <c r="M587" s="26" t="s">
        <v>28</v>
      </c>
      <c r="N587" s="24" t="s">
        <v>1772</v>
      </c>
      <c r="O587" s="24" t="s">
        <v>1773</v>
      </c>
      <c r="P587" s="27"/>
      <c r="Q587" s="27"/>
      <c r="R587" s="28" t="s">
        <v>2150</v>
      </c>
      <c r="S587" s="33" t="s">
        <v>2151</v>
      </c>
      <c r="T587" s="29" t="s">
        <v>2100</v>
      </c>
      <c r="U587" s="24"/>
    </row>
    <row r="588">
      <c r="A588" s="30">
        <v>7.29000159423E12</v>
      </c>
      <c r="B588" s="20" t="s">
        <v>2162</v>
      </c>
      <c r="C588" s="21">
        <v>0.06</v>
      </c>
      <c r="D588" s="21">
        <v>0.205</v>
      </c>
      <c r="E588" s="21">
        <v>0.06</v>
      </c>
      <c r="F588" s="22">
        <v>5.0</v>
      </c>
      <c r="G588" s="23"/>
      <c r="H588" s="24" t="s">
        <v>2153</v>
      </c>
      <c r="I588" s="21" t="s">
        <v>2154</v>
      </c>
      <c r="J588" s="24" t="s">
        <v>2163</v>
      </c>
      <c r="K588" s="21" t="s">
        <v>2164</v>
      </c>
      <c r="L588" s="25" t="s">
        <v>2165</v>
      </c>
      <c r="M588" s="26" t="s">
        <v>37</v>
      </c>
      <c r="N588" s="24" t="s">
        <v>2158</v>
      </c>
      <c r="O588" s="24" t="s">
        <v>2166</v>
      </c>
      <c r="P588" s="27"/>
      <c r="Q588" s="27"/>
      <c r="R588" s="28" t="s">
        <v>2167</v>
      </c>
      <c r="S588" s="8" t="s">
        <v>2168</v>
      </c>
      <c r="T588" s="29" t="e">
        <v>#N/A</v>
      </c>
      <c r="U588" s="24"/>
    </row>
    <row r="589">
      <c r="A589" s="30">
        <v>7.290000284347E12</v>
      </c>
      <c r="B589" s="20" t="s">
        <v>2152</v>
      </c>
      <c r="C589" s="21">
        <v>0.095</v>
      </c>
      <c r="D589" s="21">
        <v>0.333</v>
      </c>
      <c r="E589" s="21">
        <v>0.095</v>
      </c>
      <c r="F589" s="22">
        <v>3.0</v>
      </c>
      <c r="G589" s="23"/>
      <c r="H589" s="24" t="s">
        <v>2153</v>
      </c>
      <c r="I589" s="21" t="s">
        <v>2154</v>
      </c>
      <c r="J589" s="24" t="s">
        <v>2155</v>
      </c>
      <c r="K589" s="21" t="s">
        <v>2156</v>
      </c>
      <c r="L589" s="25" t="s">
        <v>2157</v>
      </c>
      <c r="M589" s="26" t="s">
        <v>37</v>
      </c>
      <c r="N589" s="24" t="s">
        <v>2158</v>
      </c>
      <c r="O589" s="24" t="s">
        <v>2159</v>
      </c>
      <c r="P589" s="27"/>
      <c r="Q589" s="27"/>
      <c r="R589" s="31" t="s">
        <v>2160</v>
      </c>
      <c r="S589" s="33" t="s">
        <v>2161</v>
      </c>
      <c r="T589" s="29" t="e">
        <v>#N/A</v>
      </c>
      <c r="U589" s="24"/>
    </row>
    <row r="590">
      <c r="A590" s="30">
        <v>7.290000161631E12</v>
      </c>
      <c r="B590" s="20" t="s">
        <v>775</v>
      </c>
      <c r="C590" s="21">
        <v>0.16</v>
      </c>
      <c r="D590" s="21">
        <v>0.037</v>
      </c>
      <c r="E590" s="21">
        <v>0.03</v>
      </c>
      <c r="F590" s="22">
        <v>10.0</v>
      </c>
      <c r="G590" s="23"/>
      <c r="H590" s="24" t="s">
        <v>723</v>
      </c>
      <c r="I590" s="21" t="s">
        <v>724</v>
      </c>
      <c r="J590" s="24" t="s">
        <v>776</v>
      </c>
      <c r="K590" s="21" t="s">
        <v>777</v>
      </c>
      <c r="L590" s="25" t="s">
        <v>778</v>
      </c>
      <c r="M590" s="26" t="s">
        <v>37</v>
      </c>
      <c r="N590" s="24" t="s">
        <v>501</v>
      </c>
      <c r="O590" s="24" t="s">
        <v>502</v>
      </c>
      <c r="P590" s="27"/>
      <c r="Q590" s="27"/>
      <c r="R590" s="31" t="s">
        <v>779</v>
      </c>
      <c r="S590" s="33" t="s">
        <v>780</v>
      </c>
      <c r="T590" s="29" t="e">
        <v>#N/A</v>
      </c>
      <c r="U590" s="24"/>
    </row>
    <row r="591">
      <c r="A591" s="30">
        <v>7.2909799E7</v>
      </c>
      <c r="B591" s="20" t="s">
        <v>750</v>
      </c>
      <c r="C591" s="21">
        <v>0.16</v>
      </c>
      <c r="D591" s="21">
        <v>0.037</v>
      </c>
      <c r="E591" s="21">
        <v>0.02</v>
      </c>
      <c r="F591" s="22">
        <v>15.0</v>
      </c>
      <c r="G591" s="23"/>
      <c r="H591" s="24" t="s">
        <v>723</v>
      </c>
      <c r="I591" s="21" t="s">
        <v>724</v>
      </c>
      <c r="J591" s="24" t="s">
        <v>751</v>
      </c>
      <c r="K591" s="21" t="s">
        <v>752</v>
      </c>
      <c r="L591" s="25" t="s">
        <v>753</v>
      </c>
      <c r="M591" s="26" t="s">
        <v>28</v>
      </c>
      <c r="N591" s="24" t="s">
        <v>501</v>
      </c>
      <c r="O591" s="24" t="s">
        <v>502</v>
      </c>
      <c r="P591" s="27"/>
      <c r="Q591" s="27"/>
      <c r="R591" s="31" t="s">
        <v>754</v>
      </c>
      <c r="S591" s="33" t="s">
        <v>755</v>
      </c>
      <c r="T591" s="29" t="s">
        <v>756</v>
      </c>
      <c r="U591" s="24"/>
    </row>
    <row r="592">
      <c r="A592" s="30">
        <v>7.290107649117E12</v>
      </c>
      <c r="B592" s="20" t="s">
        <v>769</v>
      </c>
      <c r="C592" s="21">
        <v>0.11</v>
      </c>
      <c r="D592" s="21">
        <v>0.03</v>
      </c>
      <c r="E592" s="21">
        <v>0.02</v>
      </c>
      <c r="F592" s="22">
        <v>15.0</v>
      </c>
      <c r="G592" s="23"/>
      <c r="H592" s="24" t="s">
        <v>723</v>
      </c>
      <c r="I592" s="21" t="s">
        <v>724</v>
      </c>
      <c r="J592" s="24" t="s">
        <v>770</v>
      </c>
      <c r="K592" s="21" t="s">
        <v>771</v>
      </c>
      <c r="L592" s="25" t="s">
        <v>772</v>
      </c>
      <c r="M592" s="26" t="s">
        <v>28</v>
      </c>
      <c r="N592" s="24" t="s">
        <v>501</v>
      </c>
      <c r="O592" s="24" t="s">
        <v>502</v>
      </c>
      <c r="P592" s="27"/>
      <c r="Q592" s="27"/>
      <c r="R592" s="31" t="s">
        <v>773</v>
      </c>
      <c r="S592" s="33" t="s">
        <v>774</v>
      </c>
      <c r="T592" s="29" t="s">
        <v>724</v>
      </c>
      <c r="U592" s="24"/>
    </row>
    <row r="593">
      <c r="A593" s="30">
        <v>7.290000161648E12</v>
      </c>
      <c r="B593" s="20" t="s">
        <v>763</v>
      </c>
      <c r="C593" s="21">
        <v>0.16</v>
      </c>
      <c r="D593" s="21">
        <v>0.037</v>
      </c>
      <c r="E593" s="21">
        <v>0.03</v>
      </c>
      <c r="F593" s="22">
        <v>10.0</v>
      </c>
      <c r="G593" s="23"/>
      <c r="H593" s="24" t="s">
        <v>723</v>
      </c>
      <c r="I593" s="21" t="s">
        <v>724</v>
      </c>
      <c r="J593" s="24" t="s">
        <v>764</v>
      </c>
      <c r="K593" s="21" t="s">
        <v>765</v>
      </c>
      <c r="L593" s="25" t="s">
        <v>766</v>
      </c>
      <c r="M593" s="26" t="s">
        <v>37</v>
      </c>
      <c r="N593" s="24" t="s">
        <v>501</v>
      </c>
      <c r="O593" s="24" t="s">
        <v>502</v>
      </c>
      <c r="P593" s="27"/>
      <c r="Q593" s="27"/>
      <c r="R593" s="31" t="s">
        <v>767</v>
      </c>
      <c r="S593" s="8" t="s">
        <v>768</v>
      </c>
      <c r="T593" s="29" t="e">
        <v>#N/A</v>
      </c>
      <c r="U593" s="24"/>
    </row>
    <row r="594">
      <c r="A594" s="30">
        <v>7.290112497918E12</v>
      </c>
      <c r="B594" s="20" t="s">
        <v>781</v>
      </c>
      <c r="C594" s="21">
        <v>0.16</v>
      </c>
      <c r="D594" s="21">
        <v>0.037</v>
      </c>
      <c r="E594" s="21">
        <v>0.02</v>
      </c>
      <c r="F594" s="22">
        <v>15.0</v>
      </c>
      <c r="G594" s="23"/>
      <c r="H594" s="24" t="s">
        <v>723</v>
      </c>
      <c r="I594" s="21" t="s">
        <v>724</v>
      </c>
      <c r="J594" s="24" t="s">
        <v>782</v>
      </c>
      <c r="K594" s="21" t="s">
        <v>783</v>
      </c>
      <c r="L594" s="25" t="s">
        <v>784</v>
      </c>
      <c r="M594" s="26" t="s">
        <v>28</v>
      </c>
      <c r="N594" s="24" t="s">
        <v>501</v>
      </c>
      <c r="O594" s="24" t="s">
        <v>729</v>
      </c>
      <c r="P594" s="27"/>
      <c r="Q594" s="27"/>
      <c r="R594" s="28" t="s">
        <v>785</v>
      </c>
      <c r="S594" s="8" t="s">
        <v>786</v>
      </c>
      <c r="T594" s="29" t="s">
        <v>756</v>
      </c>
      <c r="U594" s="24"/>
    </row>
    <row r="595">
      <c r="A595" s="30">
        <v>7.290112497901E12</v>
      </c>
      <c r="B595" s="20" t="s">
        <v>787</v>
      </c>
      <c r="C595" s="21">
        <v>0.16</v>
      </c>
      <c r="D595" s="21">
        <v>0.037</v>
      </c>
      <c r="E595" s="21">
        <v>0.02</v>
      </c>
      <c r="F595" s="22">
        <v>15.0</v>
      </c>
      <c r="G595" s="23"/>
      <c r="H595" s="24" t="s">
        <v>723</v>
      </c>
      <c r="I595" s="21" t="s">
        <v>724</v>
      </c>
      <c r="J595" s="24" t="s">
        <v>788</v>
      </c>
      <c r="K595" s="21" t="s">
        <v>789</v>
      </c>
      <c r="L595" s="25" t="s">
        <v>790</v>
      </c>
      <c r="M595" s="26" t="s">
        <v>28</v>
      </c>
      <c r="N595" s="24" t="s">
        <v>501</v>
      </c>
      <c r="O595" s="24" t="s">
        <v>729</v>
      </c>
      <c r="P595" s="27"/>
      <c r="Q595" s="27"/>
      <c r="R595" s="28" t="s">
        <v>791</v>
      </c>
      <c r="S595" s="8" t="s">
        <v>792</v>
      </c>
      <c r="T595" s="29" t="s">
        <v>756</v>
      </c>
      <c r="U595" s="24"/>
    </row>
    <row r="596">
      <c r="A596" s="30">
        <v>7.290112494221E12</v>
      </c>
      <c r="B596" s="20" t="s">
        <v>722</v>
      </c>
      <c r="C596" s="21">
        <v>0.083</v>
      </c>
      <c r="D596" s="21">
        <v>0.12</v>
      </c>
      <c r="E596" s="21">
        <v>0.02</v>
      </c>
      <c r="F596" s="22">
        <v>15.0</v>
      </c>
      <c r="G596" s="23"/>
      <c r="H596" s="24" t="s">
        <v>723</v>
      </c>
      <c r="I596" s="21" t="s">
        <v>724</v>
      </c>
      <c r="J596" s="24" t="s">
        <v>726</v>
      </c>
      <c r="K596" s="21" t="s">
        <v>727</v>
      </c>
      <c r="L596" s="25" t="s">
        <v>728</v>
      </c>
      <c r="M596" s="26" t="s">
        <v>28</v>
      </c>
      <c r="N596" s="24" t="s">
        <v>501</v>
      </c>
      <c r="O596" s="24" t="s">
        <v>729</v>
      </c>
      <c r="P596" s="27"/>
      <c r="Q596" s="27"/>
      <c r="R596" s="28" t="s">
        <v>730</v>
      </c>
      <c r="S596" s="8" t="s">
        <v>731</v>
      </c>
      <c r="T596" s="29" t="s">
        <v>724</v>
      </c>
      <c r="U596" s="24"/>
    </row>
    <row r="597">
      <c r="A597" s="30">
        <v>7.290112494283E12</v>
      </c>
      <c r="B597" s="20" t="s">
        <v>757</v>
      </c>
      <c r="C597" s="21">
        <v>0.083</v>
      </c>
      <c r="D597" s="21">
        <v>0.12</v>
      </c>
      <c r="E597" s="21">
        <v>0.02</v>
      </c>
      <c r="F597" s="22">
        <v>15.0</v>
      </c>
      <c r="G597" s="23"/>
      <c r="H597" s="24" t="s">
        <v>723</v>
      </c>
      <c r="I597" s="21" t="s">
        <v>724</v>
      </c>
      <c r="J597" s="24" t="s">
        <v>758</v>
      </c>
      <c r="K597" s="21" t="s">
        <v>759</v>
      </c>
      <c r="L597" s="25" t="s">
        <v>760</v>
      </c>
      <c r="M597" s="26" t="s">
        <v>28</v>
      </c>
      <c r="N597" s="24" t="s">
        <v>501</v>
      </c>
      <c r="O597" s="24" t="s">
        <v>729</v>
      </c>
      <c r="P597" s="27"/>
      <c r="Q597" s="27"/>
      <c r="R597" s="28" t="s">
        <v>761</v>
      </c>
      <c r="S597" s="8" t="s">
        <v>762</v>
      </c>
      <c r="T597" s="29" t="s">
        <v>724</v>
      </c>
      <c r="U597" s="24"/>
    </row>
    <row r="598">
      <c r="A598" s="30">
        <v>7.290112494238E12</v>
      </c>
      <c r="B598" s="20" t="s">
        <v>744</v>
      </c>
      <c r="C598" s="21">
        <v>0.083</v>
      </c>
      <c r="D598" s="21">
        <v>0.12</v>
      </c>
      <c r="E598" s="21">
        <v>0.02</v>
      </c>
      <c r="F598" s="22">
        <v>15.0</v>
      </c>
      <c r="G598" s="23"/>
      <c r="H598" s="24" t="s">
        <v>723</v>
      </c>
      <c r="I598" s="21" t="s">
        <v>724</v>
      </c>
      <c r="J598" s="24" t="s">
        <v>745</v>
      </c>
      <c r="K598" s="21" t="s">
        <v>746</v>
      </c>
      <c r="L598" s="25" t="s">
        <v>747</v>
      </c>
      <c r="M598" s="26" t="s">
        <v>28</v>
      </c>
      <c r="N598" s="24" t="s">
        <v>501</v>
      </c>
      <c r="O598" s="24" t="s">
        <v>729</v>
      </c>
      <c r="P598" s="27"/>
      <c r="Q598" s="27"/>
      <c r="R598" s="28" t="s">
        <v>748</v>
      </c>
      <c r="S598" s="8" t="s">
        <v>749</v>
      </c>
      <c r="T598" s="29" t="s">
        <v>724</v>
      </c>
      <c r="U598" s="24"/>
    </row>
    <row r="599">
      <c r="A599" s="30">
        <v>7.290112494276E12</v>
      </c>
      <c r="B599" s="20" t="s">
        <v>738</v>
      </c>
      <c r="C599" s="21">
        <v>0.083</v>
      </c>
      <c r="D599" s="21">
        <v>0.12</v>
      </c>
      <c r="E599" s="21">
        <v>0.02</v>
      </c>
      <c r="F599" s="22">
        <v>15.0</v>
      </c>
      <c r="G599" s="23"/>
      <c r="H599" s="24" t="s">
        <v>723</v>
      </c>
      <c r="I599" s="21" t="s">
        <v>724</v>
      </c>
      <c r="J599" s="24" t="s">
        <v>739</v>
      </c>
      <c r="K599" s="21" t="s">
        <v>740</v>
      </c>
      <c r="L599" s="25" t="s">
        <v>741</v>
      </c>
      <c r="M599" s="26" t="s">
        <v>28</v>
      </c>
      <c r="N599" s="24" t="s">
        <v>501</v>
      </c>
      <c r="O599" s="24" t="s">
        <v>729</v>
      </c>
      <c r="P599" s="27"/>
      <c r="Q599" s="27"/>
      <c r="R599" s="28" t="s">
        <v>742</v>
      </c>
      <c r="S599" s="33" t="s">
        <v>743</v>
      </c>
      <c r="T599" s="29" t="s">
        <v>724</v>
      </c>
      <c r="U599" s="24"/>
    </row>
    <row r="600">
      <c r="A600" s="30">
        <v>7.290112494313E12</v>
      </c>
      <c r="B600" s="20" t="s">
        <v>732</v>
      </c>
      <c r="C600" s="21">
        <v>0.083</v>
      </c>
      <c r="D600" s="21">
        <v>0.12</v>
      </c>
      <c r="E600" s="21">
        <v>0.02</v>
      </c>
      <c r="F600" s="22">
        <v>15.0</v>
      </c>
      <c r="G600" s="23"/>
      <c r="H600" s="24" t="s">
        <v>723</v>
      </c>
      <c r="I600" s="21" t="s">
        <v>724</v>
      </c>
      <c r="J600" s="24" t="s">
        <v>733</v>
      </c>
      <c r="K600" s="21" t="s">
        <v>734</v>
      </c>
      <c r="L600" s="25" t="s">
        <v>735</v>
      </c>
      <c r="M600" s="26" t="s">
        <v>28</v>
      </c>
      <c r="N600" s="24" t="s">
        <v>501</v>
      </c>
      <c r="O600" s="24" t="s">
        <v>729</v>
      </c>
      <c r="P600" s="27"/>
      <c r="Q600" s="27"/>
      <c r="R600" s="28" t="s">
        <v>736</v>
      </c>
      <c r="S600" s="8" t="s">
        <v>737</v>
      </c>
      <c r="T600" s="29" t="s">
        <v>724</v>
      </c>
      <c r="U600" s="24"/>
    </row>
    <row r="601">
      <c r="A601" s="30">
        <v>7.290003009312E12</v>
      </c>
      <c r="B601" s="20" t="s">
        <v>2270</v>
      </c>
      <c r="C601" s="21">
        <v>0.11</v>
      </c>
      <c r="D601" s="21">
        <v>0.19</v>
      </c>
      <c r="E601" s="21">
        <v>0.02</v>
      </c>
      <c r="F601" s="22">
        <v>15.0</v>
      </c>
      <c r="G601" s="23"/>
      <c r="H601" s="24" t="s">
        <v>2197</v>
      </c>
      <c r="I601" s="21" t="s">
        <v>2198</v>
      </c>
      <c r="J601" s="24" t="s">
        <v>2271</v>
      </c>
      <c r="K601" s="21" t="s">
        <v>2272</v>
      </c>
      <c r="L601" s="25" t="s">
        <v>2273</v>
      </c>
      <c r="M601" s="26" t="s">
        <v>37</v>
      </c>
      <c r="N601" s="24" t="s">
        <v>1794</v>
      </c>
      <c r="O601" s="24" t="s">
        <v>1810</v>
      </c>
      <c r="P601" s="27"/>
      <c r="Q601" s="27"/>
      <c r="R601" s="28" t="s">
        <v>2274</v>
      </c>
      <c r="S601" s="8" t="s">
        <v>2275</v>
      </c>
      <c r="T601" s="29" t="e">
        <v>#N/A</v>
      </c>
      <c r="U601" s="21" t="s">
        <v>1798</v>
      </c>
    </row>
    <row r="602">
      <c r="A602" s="30">
        <v>7.290000377209E12</v>
      </c>
      <c r="B602" s="20" t="s">
        <v>2237</v>
      </c>
      <c r="C602" s="21">
        <v>0.125</v>
      </c>
      <c r="D602" s="21">
        <v>0.18</v>
      </c>
      <c r="E602" s="21">
        <v>0.02</v>
      </c>
      <c r="F602" s="22">
        <v>15.0</v>
      </c>
      <c r="G602" s="23"/>
      <c r="H602" s="24" t="s">
        <v>2197</v>
      </c>
      <c r="I602" s="21" t="s">
        <v>2198</v>
      </c>
      <c r="J602" s="24" t="s">
        <v>2238</v>
      </c>
      <c r="K602" s="21" t="s">
        <v>2239</v>
      </c>
      <c r="L602" s="25" t="s">
        <v>2240</v>
      </c>
      <c r="M602" s="26" t="s">
        <v>28</v>
      </c>
      <c r="N602" s="24" t="s">
        <v>1794</v>
      </c>
      <c r="O602" s="24" t="s">
        <v>1810</v>
      </c>
      <c r="P602" s="27"/>
      <c r="Q602" s="27"/>
      <c r="R602" s="28" t="s">
        <v>2241</v>
      </c>
      <c r="S602" s="8" t="s">
        <v>2240</v>
      </c>
      <c r="T602" s="29" t="s">
        <v>2210</v>
      </c>
      <c r="U602" s="21" t="s">
        <v>1798</v>
      </c>
    </row>
    <row r="603">
      <c r="A603" s="30">
        <v>7.290003145768E12</v>
      </c>
      <c r="B603" s="20" t="s">
        <v>2288</v>
      </c>
      <c r="C603" s="21">
        <v>0.06</v>
      </c>
      <c r="D603" s="21">
        <v>0.075</v>
      </c>
      <c r="E603" s="21">
        <v>0.24</v>
      </c>
      <c r="F603" s="22">
        <v>1.0</v>
      </c>
      <c r="G603" s="23"/>
      <c r="H603" s="24" t="s">
        <v>2197</v>
      </c>
      <c r="I603" s="21" t="s">
        <v>2198</v>
      </c>
      <c r="J603" s="24" t="s">
        <v>2289</v>
      </c>
      <c r="K603" s="21" t="s">
        <v>2290</v>
      </c>
      <c r="L603" s="25" t="s">
        <v>2291</v>
      </c>
      <c r="M603" s="26" t="s">
        <v>37</v>
      </c>
      <c r="N603" s="24" t="s">
        <v>1794</v>
      </c>
      <c r="O603" s="24" t="s">
        <v>1854</v>
      </c>
      <c r="P603" s="27"/>
      <c r="Q603" s="27"/>
      <c r="R603" s="31" t="s">
        <v>2292</v>
      </c>
      <c r="S603" s="33" t="s">
        <v>2293</v>
      </c>
      <c r="T603" s="29" t="e">
        <v>#N/A</v>
      </c>
      <c r="U603" s="21" t="s">
        <v>1798</v>
      </c>
    </row>
    <row r="604">
      <c r="A604" s="30">
        <v>7.290003009329E12</v>
      </c>
      <c r="B604" s="20" t="s">
        <v>2218</v>
      </c>
      <c r="C604" s="21">
        <v>0.12</v>
      </c>
      <c r="D604" s="21">
        <v>0.19</v>
      </c>
      <c r="E604" s="21">
        <v>0.02</v>
      </c>
      <c r="F604" s="22">
        <v>15.0</v>
      </c>
      <c r="G604" s="23"/>
      <c r="H604" s="24" t="s">
        <v>2197</v>
      </c>
      <c r="I604" s="21" t="s">
        <v>2198</v>
      </c>
      <c r="J604" s="24" t="s">
        <v>2219</v>
      </c>
      <c r="K604" s="21" t="s">
        <v>2220</v>
      </c>
      <c r="L604" s="25" t="s">
        <v>2221</v>
      </c>
      <c r="M604" s="26" t="s">
        <v>37</v>
      </c>
      <c r="N604" s="24" t="s">
        <v>1794</v>
      </c>
      <c r="O604" s="24" t="s">
        <v>1854</v>
      </c>
      <c r="P604" s="27"/>
      <c r="Q604" s="27"/>
      <c r="R604" s="28" t="s">
        <v>2222</v>
      </c>
      <c r="S604" s="8" t="s">
        <v>2223</v>
      </c>
      <c r="T604" s="29" t="e">
        <v>#N/A</v>
      </c>
      <c r="U604" s="21" t="s">
        <v>1798</v>
      </c>
    </row>
    <row r="605">
      <c r="A605" s="30">
        <v>7.290000377452E12</v>
      </c>
      <c r="B605" s="20" t="s">
        <v>2300</v>
      </c>
      <c r="C605" s="21">
        <v>0.11</v>
      </c>
      <c r="D605" s="21">
        <v>0.19</v>
      </c>
      <c r="E605" s="21">
        <v>0.02</v>
      </c>
      <c r="F605" s="22">
        <v>15.0</v>
      </c>
      <c r="G605" s="23"/>
      <c r="H605" s="24" t="s">
        <v>2197</v>
      </c>
      <c r="I605" s="21" t="s">
        <v>2198</v>
      </c>
      <c r="J605" s="24" t="s">
        <v>2301</v>
      </c>
      <c r="K605" s="21" t="s">
        <v>1859</v>
      </c>
      <c r="L605" s="25" t="s">
        <v>2302</v>
      </c>
      <c r="M605" s="26" t="s">
        <v>37</v>
      </c>
      <c r="N605" s="24" t="s">
        <v>1794</v>
      </c>
      <c r="O605" s="24" t="s">
        <v>1861</v>
      </c>
      <c r="P605" s="27"/>
      <c r="Q605" s="27"/>
      <c r="R605" s="28" t="s">
        <v>2303</v>
      </c>
      <c r="S605" s="8" t="s">
        <v>2304</v>
      </c>
      <c r="T605" s="29" t="e">
        <v>#N/A</v>
      </c>
      <c r="U605" s="21" t="s">
        <v>1798</v>
      </c>
    </row>
    <row r="606">
      <c r="A606" s="30">
        <v>7.290000148489E12</v>
      </c>
      <c r="B606" s="20" t="s">
        <v>2196</v>
      </c>
      <c r="C606" s="21">
        <v>0.145</v>
      </c>
      <c r="D606" s="21">
        <v>0.19</v>
      </c>
      <c r="E606" s="21">
        <v>0.02</v>
      </c>
      <c r="F606" s="22">
        <v>15.0</v>
      </c>
      <c r="G606" s="23"/>
      <c r="H606" s="24" t="s">
        <v>2197</v>
      </c>
      <c r="I606" s="21" t="s">
        <v>2198</v>
      </c>
      <c r="J606" s="24" t="s">
        <v>2199</v>
      </c>
      <c r="K606" s="21" t="s">
        <v>2200</v>
      </c>
      <c r="L606" s="25" t="s">
        <v>2201</v>
      </c>
      <c r="M606" s="26" t="s">
        <v>37</v>
      </c>
      <c r="N606" s="24" t="s">
        <v>1794</v>
      </c>
      <c r="O606" s="24" t="s">
        <v>2202</v>
      </c>
      <c r="P606" s="27"/>
      <c r="Q606" s="27"/>
      <c r="R606" s="28" t="s">
        <v>2203</v>
      </c>
      <c r="S606" s="8" t="s">
        <v>2204</v>
      </c>
      <c r="T606" s="29" t="e">
        <v>#N/A</v>
      </c>
      <c r="U606" s="21" t="s">
        <v>1798</v>
      </c>
    </row>
    <row r="607">
      <c r="A607" s="30">
        <v>7.290000148748E12</v>
      </c>
      <c r="B607" s="20" t="s">
        <v>2282</v>
      </c>
      <c r="C607" s="21">
        <v>0.11</v>
      </c>
      <c r="D607" s="21">
        <v>0.19</v>
      </c>
      <c r="E607" s="21">
        <v>0.02</v>
      </c>
      <c r="F607" s="22">
        <v>15.0</v>
      </c>
      <c r="G607" s="23"/>
      <c r="H607" s="24" t="s">
        <v>2197</v>
      </c>
      <c r="I607" s="21" t="s">
        <v>2198</v>
      </c>
      <c r="J607" s="24" t="s">
        <v>2283</v>
      </c>
      <c r="K607" s="21" t="s">
        <v>2284</v>
      </c>
      <c r="L607" s="25" t="s">
        <v>2285</v>
      </c>
      <c r="M607" s="26" t="s">
        <v>37</v>
      </c>
      <c r="N607" s="24" t="s">
        <v>1794</v>
      </c>
      <c r="O607" s="24" t="s">
        <v>1803</v>
      </c>
      <c r="P607" s="27"/>
      <c r="Q607" s="27"/>
      <c r="R607" s="31" t="s">
        <v>2286</v>
      </c>
      <c r="S607" s="8" t="s">
        <v>2287</v>
      </c>
      <c r="T607" s="29" t="e">
        <v>#N/A</v>
      </c>
      <c r="U607" s="21" t="s">
        <v>1798</v>
      </c>
    </row>
    <row r="608">
      <c r="A608" s="30">
        <v>7.290003145584E12</v>
      </c>
      <c r="B608" s="20" t="s">
        <v>2258</v>
      </c>
      <c r="C608" s="21">
        <v>0.08</v>
      </c>
      <c r="D608" s="21">
        <v>0.19</v>
      </c>
      <c r="E608" s="21">
        <v>0.02</v>
      </c>
      <c r="F608" s="22">
        <v>15.0</v>
      </c>
      <c r="G608" s="23"/>
      <c r="H608" s="24" t="s">
        <v>2197</v>
      </c>
      <c r="I608" s="21" t="s">
        <v>2198</v>
      </c>
      <c r="J608" s="24" t="s">
        <v>2259</v>
      </c>
      <c r="K608" s="21" t="s">
        <v>2260</v>
      </c>
      <c r="L608" s="25" t="s">
        <v>2261</v>
      </c>
      <c r="M608" s="26" t="s">
        <v>37</v>
      </c>
      <c r="N608" s="24" t="s">
        <v>1794</v>
      </c>
      <c r="O608" s="24" t="s">
        <v>1828</v>
      </c>
      <c r="P608" s="27"/>
      <c r="Q608" s="27"/>
      <c r="R608" s="31" t="s">
        <v>2262</v>
      </c>
      <c r="S608" s="33" t="s">
        <v>2263</v>
      </c>
      <c r="T608" s="29" t="e">
        <v>#N/A</v>
      </c>
      <c r="U608" s="21" t="s">
        <v>1798</v>
      </c>
    </row>
    <row r="609">
      <c r="A609" s="30">
        <v>7.290003009336E12</v>
      </c>
      <c r="B609" s="20" t="s">
        <v>2224</v>
      </c>
      <c r="C609" s="21">
        <v>0.12</v>
      </c>
      <c r="D609" s="21">
        <v>0.19</v>
      </c>
      <c r="E609" s="21">
        <v>0.02</v>
      </c>
      <c r="F609" s="22">
        <v>15.0</v>
      </c>
      <c r="G609" s="23"/>
      <c r="H609" s="24" t="s">
        <v>2197</v>
      </c>
      <c r="I609" s="21" t="s">
        <v>2198</v>
      </c>
      <c r="J609" s="24" t="s">
        <v>2225</v>
      </c>
      <c r="K609" s="21" t="s">
        <v>2226</v>
      </c>
      <c r="L609" s="25" t="s">
        <v>2227</v>
      </c>
      <c r="M609" s="26" t="s">
        <v>37</v>
      </c>
      <c r="N609" s="24" t="s">
        <v>1794</v>
      </c>
      <c r="O609" s="24" t="s">
        <v>2228</v>
      </c>
      <c r="P609" s="27"/>
      <c r="Q609" s="27"/>
      <c r="R609" s="28" t="s">
        <v>2229</v>
      </c>
      <c r="S609" s="8" t="s">
        <v>2230</v>
      </c>
      <c r="T609" s="29" t="e">
        <v>#N/A</v>
      </c>
      <c r="U609" s="21" t="s">
        <v>1798</v>
      </c>
    </row>
    <row r="610">
      <c r="A610" s="30">
        <v>7.290000148618E12</v>
      </c>
      <c r="B610" s="20" t="s">
        <v>2231</v>
      </c>
      <c r="C610" s="21">
        <v>0.135</v>
      </c>
      <c r="D610" s="21">
        <v>0.19</v>
      </c>
      <c r="E610" s="21">
        <v>0.02</v>
      </c>
      <c r="F610" s="22">
        <v>15.0</v>
      </c>
      <c r="G610" s="23"/>
      <c r="H610" s="24" t="s">
        <v>2197</v>
      </c>
      <c r="I610" s="21" t="s">
        <v>2198</v>
      </c>
      <c r="J610" s="24" t="s">
        <v>2232</v>
      </c>
      <c r="K610" s="21" t="s">
        <v>2233</v>
      </c>
      <c r="L610" s="25" t="s">
        <v>2234</v>
      </c>
      <c r="M610" s="26" t="s">
        <v>37</v>
      </c>
      <c r="N610" s="24" t="s">
        <v>1794</v>
      </c>
      <c r="O610" s="24" t="s">
        <v>1841</v>
      </c>
      <c r="P610" s="27"/>
      <c r="Q610" s="27"/>
      <c r="R610" s="31" t="s">
        <v>2235</v>
      </c>
      <c r="S610" s="33" t="s">
        <v>2236</v>
      </c>
      <c r="T610" s="29" t="e">
        <v>#N/A</v>
      </c>
      <c r="U610" s="21" t="s">
        <v>1798</v>
      </c>
    </row>
    <row r="611">
      <c r="A611" s="30">
        <v>7.290003145577E12</v>
      </c>
      <c r="B611" s="20" t="s">
        <v>2264</v>
      </c>
      <c r="C611" s="21">
        <v>0.08</v>
      </c>
      <c r="D611" s="21">
        <v>0.19</v>
      </c>
      <c r="E611" s="21">
        <v>0.02</v>
      </c>
      <c r="F611" s="22">
        <v>15.0</v>
      </c>
      <c r="G611" s="23"/>
      <c r="H611" s="24" t="s">
        <v>2197</v>
      </c>
      <c r="I611" s="21" t="s">
        <v>2198</v>
      </c>
      <c r="J611" s="24" t="s">
        <v>2265</v>
      </c>
      <c r="K611" s="21" t="s">
        <v>2266</v>
      </c>
      <c r="L611" s="25" t="s">
        <v>2267</v>
      </c>
      <c r="M611" s="26" t="s">
        <v>37</v>
      </c>
      <c r="N611" s="24" t="s">
        <v>1794</v>
      </c>
      <c r="O611" s="24" t="s">
        <v>1841</v>
      </c>
      <c r="P611" s="27"/>
      <c r="Q611" s="27"/>
      <c r="R611" s="28" t="s">
        <v>2268</v>
      </c>
      <c r="S611" s="8" t="s">
        <v>2269</v>
      </c>
      <c r="T611" s="29" t="e">
        <v>#N/A</v>
      </c>
      <c r="U611" s="21" t="s">
        <v>1798</v>
      </c>
    </row>
    <row r="612">
      <c r="A612" s="30">
        <v>7.29000314556E12</v>
      </c>
      <c r="B612" s="20" t="s">
        <v>2294</v>
      </c>
      <c r="C612" s="21">
        <v>0.08</v>
      </c>
      <c r="D612" s="21">
        <v>0.19</v>
      </c>
      <c r="E612" s="21">
        <v>0.02</v>
      </c>
      <c r="F612" s="22">
        <v>15.0</v>
      </c>
      <c r="G612" s="23"/>
      <c r="H612" s="24" t="s">
        <v>2197</v>
      </c>
      <c r="I612" s="21" t="s">
        <v>2198</v>
      </c>
      <c r="J612" s="24" t="s">
        <v>2295</v>
      </c>
      <c r="K612" s="21" t="s">
        <v>2296</v>
      </c>
      <c r="L612" s="25" t="s">
        <v>2297</v>
      </c>
      <c r="M612" s="26" t="s">
        <v>37</v>
      </c>
      <c r="N612" s="24" t="s">
        <v>1794</v>
      </c>
      <c r="O612" s="24" t="s">
        <v>2215</v>
      </c>
      <c r="P612" s="27"/>
      <c r="Q612" s="27"/>
      <c r="R612" s="28" t="s">
        <v>2298</v>
      </c>
      <c r="S612" s="8" t="s">
        <v>2299</v>
      </c>
      <c r="T612" s="29" t="e">
        <v>#N/A</v>
      </c>
      <c r="U612" s="21" t="s">
        <v>1798</v>
      </c>
    </row>
    <row r="613">
      <c r="A613" s="30">
        <v>7.290000148939E12</v>
      </c>
      <c r="B613" s="20" t="s">
        <v>2211</v>
      </c>
      <c r="C613" s="21">
        <v>0.11</v>
      </c>
      <c r="D613" s="21">
        <v>0.19</v>
      </c>
      <c r="E613" s="21">
        <v>0.02</v>
      </c>
      <c r="F613" s="22">
        <v>15.0</v>
      </c>
      <c r="G613" s="23"/>
      <c r="H613" s="24" t="s">
        <v>2197</v>
      </c>
      <c r="I613" s="21" t="s">
        <v>2198</v>
      </c>
      <c r="J613" s="24" t="s">
        <v>2212</v>
      </c>
      <c r="K613" s="21" t="s">
        <v>2213</v>
      </c>
      <c r="L613" s="25" t="s">
        <v>2214</v>
      </c>
      <c r="M613" s="26" t="s">
        <v>37</v>
      </c>
      <c r="N613" s="24" t="s">
        <v>1794</v>
      </c>
      <c r="O613" s="24" t="s">
        <v>2215</v>
      </c>
      <c r="P613" s="27"/>
      <c r="Q613" s="27"/>
      <c r="R613" s="28" t="s">
        <v>2216</v>
      </c>
      <c r="S613" s="8" t="s">
        <v>2217</v>
      </c>
      <c r="T613" s="29" t="e">
        <v>#N/A</v>
      </c>
      <c r="U613" s="21" t="s">
        <v>1798</v>
      </c>
    </row>
    <row r="614">
      <c r="A614" s="30">
        <v>7.290003896141E12</v>
      </c>
      <c r="B614" s="20" t="s">
        <v>2205</v>
      </c>
      <c r="C614" s="21">
        <v>0.11</v>
      </c>
      <c r="D614" s="21">
        <v>0.19</v>
      </c>
      <c r="E614" s="21">
        <v>0.02</v>
      </c>
      <c r="F614" s="22">
        <v>15.0</v>
      </c>
      <c r="G614" s="23"/>
      <c r="H614" s="24" t="s">
        <v>2197</v>
      </c>
      <c r="I614" s="21" t="s">
        <v>2198</v>
      </c>
      <c r="J614" s="24" t="s">
        <v>2206</v>
      </c>
      <c r="K614" s="21" t="s">
        <v>2207</v>
      </c>
      <c r="L614" s="25" t="s">
        <v>2208</v>
      </c>
      <c r="M614" s="26" t="s">
        <v>28</v>
      </c>
      <c r="N614" s="24" t="s">
        <v>1794</v>
      </c>
      <c r="O614" s="24" t="s">
        <v>1795</v>
      </c>
      <c r="P614" s="27"/>
      <c r="Q614" s="27"/>
      <c r="R614" s="28" t="s">
        <v>2209</v>
      </c>
      <c r="S614" s="8" t="s">
        <v>2208</v>
      </c>
      <c r="T614" s="29" t="s">
        <v>2210</v>
      </c>
      <c r="U614" s="21" t="s">
        <v>1798</v>
      </c>
    </row>
    <row r="615">
      <c r="A615" s="30">
        <v>7.290000377445E12</v>
      </c>
      <c r="B615" s="20" t="s">
        <v>2247</v>
      </c>
      <c r="C615" s="21">
        <v>0.11</v>
      </c>
      <c r="D615" s="21">
        <v>0.19</v>
      </c>
      <c r="E615" s="21">
        <v>0.02</v>
      </c>
      <c r="F615" s="22">
        <v>15.0</v>
      </c>
      <c r="G615" s="23"/>
      <c r="H615" s="24" t="s">
        <v>2197</v>
      </c>
      <c r="I615" s="21" t="s">
        <v>2198</v>
      </c>
      <c r="J615" s="24" t="s">
        <v>2248</v>
      </c>
      <c r="K615" s="21" t="s">
        <v>2249</v>
      </c>
      <c r="L615" s="25" t="s">
        <v>2250</v>
      </c>
      <c r="M615" s="26" t="s">
        <v>37</v>
      </c>
      <c r="N615" s="24" t="s">
        <v>1794</v>
      </c>
      <c r="O615" s="24" t="s">
        <v>1795</v>
      </c>
      <c r="P615" s="27"/>
      <c r="Q615" s="27"/>
      <c r="R615" s="28" t="s">
        <v>2251</v>
      </c>
      <c r="S615" s="8" t="s">
        <v>2252</v>
      </c>
      <c r="T615" s="29" t="e">
        <v>#N/A</v>
      </c>
      <c r="U615" s="21" t="s">
        <v>1798</v>
      </c>
    </row>
    <row r="616">
      <c r="A616" s="30">
        <v>7.290003142699E12</v>
      </c>
      <c r="B616" s="20" t="s">
        <v>2253</v>
      </c>
      <c r="C616" s="21">
        <v>0.1186</v>
      </c>
      <c r="D616" s="21">
        <v>0.19</v>
      </c>
      <c r="E616" s="21">
        <v>0.03</v>
      </c>
      <c r="F616" s="22">
        <v>15.0</v>
      </c>
      <c r="G616" s="23"/>
      <c r="H616" s="24" t="s">
        <v>2197</v>
      </c>
      <c r="I616" s="21" t="s">
        <v>2198</v>
      </c>
      <c r="J616" s="24" t="s">
        <v>2254</v>
      </c>
      <c r="K616" s="21" t="s">
        <v>2255</v>
      </c>
      <c r="L616" s="25" t="s">
        <v>2256</v>
      </c>
      <c r="M616" s="26" t="s">
        <v>28</v>
      </c>
      <c r="N616" s="24" t="s">
        <v>1794</v>
      </c>
      <c r="O616" s="24" t="s">
        <v>1795</v>
      </c>
      <c r="P616" s="27"/>
      <c r="Q616" s="27"/>
      <c r="R616" s="28" t="s">
        <v>2257</v>
      </c>
      <c r="S616" s="8" t="s">
        <v>2256</v>
      </c>
      <c r="T616" s="29" t="s">
        <v>2210</v>
      </c>
      <c r="U616" s="21" t="s">
        <v>1798</v>
      </c>
    </row>
    <row r="617">
      <c r="A617" s="30">
        <v>7.290111351327E12</v>
      </c>
      <c r="B617" s="20" t="s">
        <v>2242</v>
      </c>
      <c r="C617" s="21">
        <v>0.297</v>
      </c>
      <c r="D617" s="21">
        <v>0.19</v>
      </c>
      <c r="E617" s="21">
        <v>0.03</v>
      </c>
      <c r="F617" s="22">
        <v>15.0</v>
      </c>
      <c r="G617" s="23"/>
      <c r="H617" s="24" t="s">
        <v>2197</v>
      </c>
      <c r="I617" s="21" t="s">
        <v>2198</v>
      </c>
      <c r="J617" s="24" t="s">
        <v>2243</v>
      </c>
      <c r="K617" s="21" t="s">
        <v>2244</v>
      </c>
      <c r="L617" s="25" t="s">
        <v>2245</v>
      </c>
      <c r="M617" s="26" t="s">
        <v>28</v>
      </c>
      <c r="N617" s="24" t="s">
        <v>1794</v>
      </c>
      <c r="O617" s="24" t="s">
        <v>1795</v>
      </c>
      <c r="P617" s="27"/>
      <c r="Q617" s="27"/>
      <c r="R617" s="28" t="s">
        <v>2246</v>
      </c>
      <c r="S617" s="8" t="s">
        <v>2245</v>
      </c>
      <c r="T617" s="29" t="s">
        <v>2210</v>
      </c>
      <c r="U617" s="21" t="s">
        <v>1798</v>
      </c>
    </row>
    <row r="618">
      <c r="A618" s="30">
        <v>5.411081003654E12</v>
      </c>
      <c r="B618" s="20" t="s">
        <v>2037</v>
      </c>
      <c r="C618" s="21">
        <v>0.06</v>
      </c>
      <c r="D618" s="21">
        <v>0.19</v>
      </c>
      <c r="E618" s="21">
        <v>0.06</v>
      </c>
      <c r="F618" s="22">
        <v>5.0</v>
      </c>
      <c r="G618" s="23"/>
      <c r="H618" s="24" t="s">
        <v>2038</v>
      </c>
      <c r="I618" s="21" t="s">
        <v>2039</v>
      </c>
      <c r="J618" s="24" t="s">
        <v>2040</v>
      </c>
      <c r="K618" s="21" t="s">
        <v>2041</v>
      </c>
      <c r="L618" s="25" t="s">
        <v>2042</v>
      </c>
      <c r="M618" s="26" t="s">
        <v>28</v>
      </c>
      <c r="N618" s="24" t="s">
        <v>365</v>
      </c>
      <c r="O618" s="24" t="s">
        <v>536</v>
      </c>
      <c r="P618" s="27"/>
      <c r="Q618" s="27"/>
      <c r="R618" s="28" t="s">
        <v>2043</v>
      </c>
      <c r="S618" s="8" t="s">
        <v>2044</v>
      </c>
      <c r="T618" s="29" t="s">
        <v>2045</v>
      </c>
      <c r="U618" s="24"/>
    </row>
    <row r="619">
      <c r="A619" s="30">
        <v>7.290005201882E12</v>
      </c>
      <c r="B619" s="20" t="s">
        <v>5247</v>
      </c>
      <c r="C619" s="21">
        <v>0.12</v>
      </c>
      <c r="D619" s="21">
        <v>0.18</v>
      </c>
      <c r="E619" s="21">
        <v>0.02</v>
      </c>
      <c r="F619" s="22">
        <v>15.0</v>
      </c>
      <c r="G619" s="23"/>
      <c r="H619" s="24" t="s">
        <v>1217</v>
      </c>
      <c r="I619" s="21" t="s">
        <v>5248</v>
      </c>
      <c r="J619" s="24" t="s">
        <v>1291</v>
      </c>
      <c r="K619" s="21" t="s">
        <v>1292</v>
      </c>
      <c r="L619" s="25" t="s">
        <v>1293</v>
      </c>
      <c r="M619" s="26" t="s">
        <v>37</v>
      </c>
      <c r="N619" s="24" t="s">
        <v>1262</v>
      </c>
      <c r="O619" s="24" t="s">
        <v>1263</v>
      </c>
      <c r="P619" s="27"/>
      <c r="Q619" s="27"/>
      <c r="R619" s="31" t="s">
        <v>1294</v>
      </c>
      <c r="S619" s="8" t="s">
        <v>1295</v>
      </c>
      <c r="T619" s="29" t="e">
        <v>#N/A</v>
      </c>
      <c r="U619" s="24"/>
    </row>
    <row r="620">
      <c r="A620" s="30">
        <v>7.29000017642E12</v>
      </c>
      <c r="B620" s="20" t="s">
        <v>5249</v>
      </c>
      <c r="C620" s="21">
        <v>0.09</v>
      </c>
      <c r="D620" s="21">
        <v>0.174</v>
      </c>
      <c r="E620" s="21">
        <v>0.093</v>
      </c>
      <c r="F620" s="22">
        <v>3.0</v>
      </c>
      <c r="G620" s="23"/>
      <c r="H620" s="24" t="s">
        <v>1217</v>
      </c>
      <c r="I620" s="21" t="s">
        <v>5248</v>
      </c>
      <c r="J620" s="24" t="s">
        <v>1276</v>
      </c>
      <c r="K620" s="21" t="s">
        <v>1277</v>
      </c>
      <c r="L620" s="25" t="s">
        <v>1278</v>
      </c>
      <c r="M620" s="26" t="s">
        <v>37</v>
      </c>
      <c r="N620" s="24" t="s">
        <v>1262</v>
      </c>
      <c r="O620" s="24" t="s">
        <v>1263</v>
      </c>
      <c r="P620" s="27"/>
      <c r="Q620" s="27"/>
      <c r="R620" s="31" t="s">
        <v>1279</v>
      </c>
      <c r="S620" s="8" t="s">
        <v>1280</v>
      </c>
      <c r="T620" s="29" t="e">
        <v>#N/A</v>
      </c>
      <c r="U620" s="24"/>
    </row>
    <row r="621">
      <c r="A621" s="30">
        <v>7.290112344427E12</v>
      </c>
      <c r="B621" s="20" t="s">
        <v>5250</v>
      </c>
      <c r="C621" s="21">
        <v>0.08</v>
      </c>
      <c r="D621" s="21">
        <v>0.13</v>
      </c>
      <c r="E621" s="21">
        <v>0.057</v>
      </c>
      <c r="F621" s="22">
        <v>5.0</v>
      </c>
      <c r="G621" s="23"/>
      <c r="H621" s="24" t="s">
        <v>1217</v>
      </c>
      <c r="I621" s="21" t="s">
        <v>5248</v>
      </c>
      <c r="J621" s="24" t="s">
        <v>1259</v>
      </c>
      <c r="K621" s="21" t="s">
        <v>1260</v>
      </c>
      <c r="L621" s="25" t="s">
        <v>1261</v>
      </c>
      <c r="M621" s="26" t="s">
        <v>28</v>
      </c>
      <c r="N621" s="24" t="s">
        <v>1262</v>
      </c>
      <c r="O621" s="24" t="s">
        <v>1263</v>
      </c>
      <c r="P621" s="27"/>
      <c r="Q621" s="27"/>
      <c r="R621" s="31" t="s">
        <v>1264</v>
      </c>
      <c r="S621" s="8" t="s">
        <v>1265</v>
      </c>
      <c r="T621" s="29" t="s">
        <v>1266</v>
      </c>
      <c r="U621" s="24"/>
    </row>
    <row r="622">
      <c r="A622" s="30">
        <v>7.290107956932E12</v>
      </c>
      <c r="B622" s="20" t="s">
        <v>5251</v>
      </c>
      <c r="C622" s="21">
        <v>0.08</v>
      </c>
      <c r="D622" s="21">
        <v>0.195</v>
      </c>
      <c r="E622" s="21">
        <v>0.03</v>
      </c>
      <c r="F622" s="22">
        <v>10.0</v>
      </c>
      <c r="G622" s="23"/>
      <c r="H622" s="24" t="s">
        <v>1217</v>
      </c>
      <c r="I622" s="21" t="s">
        <v>5248</v>
      </c>
      <c r="J622" s="24" t="s">
        <v>1236</v>
      </c>
      <c r="K622" s="21" t="s">
        <v>1237</v>
      </c>
      <c r="L622" s="25" t="s">
        <v>1238</v>
      </c>
      <c r="M622" s="26" t="s">
        <v>28</v>
      </c>
      <c r="N622" s="24" t="s">
        <v>1222</v>
      </c>
      <c r="O622" s="24" t="s">
        <v>1223</v>
      </c>
      <c r="P622" s="27"/>
      <c r="Q622" s="27"/>
      <c r="R622" s="31" t="s">
        <v>1239</v>
      </c>
      <c r="S622" s="33" t="s">
        <v>1240</v>
      </c>
      <c r="T622" s="29" t="s">
        <v>1226</v>
      </c>
      <c r="U622" s="24"/>
    </row>
    <row r="623">
      <c r="A623" s="30">
        <v>7.290106525399E12</v>
      </c>
      <c r="B623" s="20" t="s">
        <v>5252</v>
      </c>
      <c r="C623" s="21">
        <v>0.08</v>
      </c>
      <c r="D623" s="21">
        <v>0.195</v>
      </c>
      <c r="E623" s="21">
        <v>0.03</v>
      </c>
      <c r="F623" s="22">
        <v>10.0</v>
      </c>
      <c r="G623" s="23"/>
      <c r="H623" s="24" t="s">
        <v>1217</v>
      </c>
      <c r="I623" s="21" t="s">
        <v>5248</v>
      </c>
      <c r="J623" s="24" t="s">
        <v>1229</v>
      </c>
      <c r="K623" s="21" t="s">
        <v>1230</v>
      </c>
      <c r="L623" s="25" t="s">
        <v>1231</v>
      </c>
      <c r="M623" s="26" t="s">
        <v>28</v>
      </c>
      <c r="N623" s="24" t="s">
        <v>1222</v>
      </c>
      <c r="O623" s="24" t="s">
        <v>1223</v>
      </c>
      <c r="P623" s="27"/>
      <c r="Q623" s="27"/>
      <c r="R623" s="31" t="s">
        <v>1232</v>
      </c>
      <c r="S623" s="33" t="s">
        <v>1233</v>
      </c>
      <c r="T623" s="29" t="s">
        <v>1226</v>
      </c>
      <c r="U623" s="24"/>
    </row>
    <row r="624">
      <c r="A624" s="30">
        <v>8.003753158556E12</v>
      </c>
      <c r="B624" s="20" t="s">
        <v>5253</v>
      </c>
      <c r="C624" s="21">
        <v>0.09</v>
      </c>
      <c r="D624" s="21">
        <v>0.195</v>
      </c>
      <c r="E624" s="21">
        <v>0.13</v>
      </c>
      <c r="F624" s="22">
        <v>2.0</v>
      </c>
      <c r="G624" s="23"/>
      <c r="H624" s="24" t="s">
        <v>1217</v>
      </c>
      <c r="I624" s="21" t="s">
        <v>5248</v>
      </c>
      <c r="J624" s="24" t="s">
        <v>1251</v>
      </c>
      <c r="K624" s="21" t="s">
        <v>1252</v>
      </c>
      <c r="L624" s="25" t="s">
        <v>1253</v>
      </c>
      <c r="M624" s="26" t="s">
        <v>28</v>
      </c>
      <c r="N624" s="24" t="s">
        <v>1222</v>
      </c>
      <c r="O624" s="24" t="s">
        <v>1223</v>
      </c>
      <c r="P624" s="27"/>
      <c r="Q624" s="27"/>
      <c r="R624" s="31" t="s">
        <v>1254</v>
      </c>
      <c r="S624" s="33" t="s">
        <v>1255</v>
      </c>
      <c r="T624" s="29" t="s">
        <v>1256</v>
      </c>
      <c r="U624" s="24"/>
    </row>
    <row r="625">
      <c r="A625" s="30">
        <v>7.290110566623E12</v>
      </c>
      <c r="B625" s="20" t="s">
        <v>5254</v>
      </c>
      <c r="C625" s="21">
        <v>0.08</v>
      </c>
      <c r="D625" s="21">
        <v>0.195</v>
      </c>
      <c r="E625" s="21">
        <v>0.03</v>
      </c>
      <c r="F625" s="22">
        <v>10.0</v>
      </c>
      <c r="G625" s="23"/>
      <c r="H625" s="24" t="s">
        <v>1217</v>
      </c>
      <c r="I625" s="21" t="s">
        <v>5248</v>
      </c>
      <c r="J625" s="24" t="s">
        <v>1219</v>
      </c>
      <c r="K625" s="21" t="s">
        <v>1220</v>
      </c>
      <c r="L625" s="25" t="s">
        <v>1221</v>
      </c>
      <c r="M625" s="26" t="s">
        <v>28</v>
      </c>
      <c r="N625" s="24" t="s">
        <v>1222</v>
      </c>
      <c r="O625" s="24" t="s">
        <v>1223</v>
      </c>
      <c r="P625" s="27"/>
      <c r="Q625" s="27"/>
      <c r="R625" s="31" t="s">
        <v>1224</v>
      </c>
      <c r="S625" s="33" t="s">
        <v>1225</v>
      </c>
      <c r="T625" s="29" t="s">
        <v>1226</v>
      </c>
      <c r="U625" s="24"/>
    </row>
    <row r="626">
      <c r="A626" s="30">
        <v>7.290105360328E12</v>
      </c>
      <c r="B626" s="20" t="s">
        <v>5255</v>
      </c>
      <c r="C626" s="21">
        <v>0.08</v>
      </c>
      <c r="D626" s="21">
        <v>0.195</v>
      </c>
      <c r="E626" s="21">
        <v>0.03</v>
      </c>
      <c r="F626" s="22">
        <v>10.0</v>
      </c>
      <c r="G626" s="23"/>
      <c r="H626" s="24" t="s">
        <v>1217</v>
      </c>
      <c r="I626" s="21" t="s">
        <v>5248</v>
      </c>
      <c r="J626" s="24" t="s">
        <v>1269</v>
      </c>
      <c r="K626" s="21" t="s">
        <v>1270</v>
      </c>
      <c r="L626" s="25" t="s">
        <v>1271</v>
      </c>
      <c r="M626" s="26" t="s">
        <v>28</v>
      </c>
      <c r="N626" s="24" t="s">
        <v>1222</v>
      </c>
      <c r="O626" s="24" t="s">
        <v>1223</v>
      </c>
      <c r="P626" s="27"/>
      <c r="Q626" s="27"/>
      <c r="R626" s="31" t="s">
        <v>1272</v>
      </c>
      <c r="S626" s="8" t="s">
        <v>1273</v>
      </c>
      <c r="T626" s="29" t="s">
        <v>1226</v>
      </c>
      <c r="U626" s="24"/>
    </row>
    <row r="627">
      <c r="A627" s="30">
        <v>7.290107953559E12</v>
      </c>
      <c r="B627" s="20" t="s">
        <v>5256</v>
      </c>
      <c r="C627" s="21">
        <v>0.11</v>
      </c>
      <c r="D627" s="21">
        <v>0.18</v>
      </c>
      <c r="E627" s="21">
        <v>0.025</v>
      </c>
      <c r="F627" s="22">
        <v>12.0</v>
      </c>
      <c r="G627" s="23"/>
      <c r="H627" s="24" t="s">
        <v>1217</v>
      </c>
      <c r="I627" s="21" t="s">
        <v>5248</v>
      </c>
      <c r="J627" s="24" t="s">
        <v>1243</v>
      </c>
      <c r="K627" s="21" t="s">
        <v>1244</v>
      </c>
      <c r="L627" s="25" t="s">
        <v>1245</v>
      </c>
      <c r="M627" s="26" t="s">
        <v>28</v>
      </c>
      <c r="N627" s="24" t="s">
        <v>51</v>
      </c>
      <c r="O627" s="24" t="s">
        <v>52</v>
      </c>
      <c r="P627" s="27"/>
      <c r="Q627" s="27"/>
      <c r="R627" s="31" t="s">
        <v>1246</v>
      </c>
      <c r="S627" s="33" t="s">
        <v>1247</v>
      </c>
      <c r="T627" s="29" t="s">
        <v>1248</v>
      </c>
      <c r="U627" s="24"/>
    </row>
    <row r="628">
      <c r="A628" s="30">
        <v>7.290000176062E12</v>
      </c>
      <c r="B628" s="20" t="s">
        <v>5257</v>
      </c>
      <c r="C628" s="21">
        <v>0.09999999</v>
      </c>
      <c r="D628" s="21">
        <v>0.15</v>
      </c>
      <c r="E628" s="21">
        <v>0.02</v>
      </c>
      <c r="F628" s="22">
        <v>15.0</v>
      </c>
      <c r="G628" s="23"/>
      <c r="H628" s="24" t="s">
        <v>1217</v>
      </c>
      <c r="I628" s="21" t="s">
        <v>5248</v>
      </c>
      <c r="J628" s="24" t="s">
        <v>1283</v>
      </c>
      <c r="K628" s="21" t="s">
        <v>1284</v>
      </c>
      <c r="L628" s="25" t="s">
        <v>5258</v>
      </c>
      <c r="M628" s="26" t="s">
        <v>37</v>
      </c>
      <c r="N628" s="24" t="s">
        <v>51</v>
      </c>
      <c r="O628" s="24" t="s">
        <v>52</v>
      </c>
      <c r="P628" s="27"/>
      <c r="Q628" s="27"/>
      <c r="R628" s="31" t="s">
        <v>1286</v>
      </c>
      <c r="S628" s="33" t="s">
        <v>1287</v>
      </c>
      <c r="T628" s="29" t="e">
        <v>#N/A</v>
      </c>
      <c r="U628" s="24"/>
    </row>
    <row r="629">
      <c r="A629" s="30">
        <v>1.6000548596E10</v>
      </c>
      <c r="B629" s="20" t="s">
        <v>993</v>
      </c>
      <c r="C629" s="21">
        <v>0.13</v>
      </c>
      <c r="D629" s="21">
        <v>0.045</v>
      </c>
      <c r="E629" s="21">
        <v>0.02</v>
      </c>
      <c r="F629" s="22">
        <v>15.0</v>
      </c>
      <c r="G629" s="23"/>
      <c r="H629" s="24" t="s">
        <v>985</v>
      </c>
      <c r="I629" s="21" t="s">
        <v>986</v>
      </c>
      <c r="J629" s="24" t="s">
        <v>994</v>
      </c>
      <c r="K629" s="21" t="s">
        <v>995</v>
      </c>
      <c r="L629" s="25" t="s">
        <v>996</v>
      </c>
      <c r="M629" s="26" t="s">
        <v>28</v>
      </c>
      <c r="N629" s="24" t="s">
        <v>320</v>
      </c>
      <c r="O629" s="24" t="s">
        <v>321</v>
      </c>
      <c r="P629" s="27"/>
      <c r="Q629" s="27"/>
      <c r="R629" s="28" t="s">
        <v>997</v>
      </c>
      <c r="S629" s="8" t="s">
        <v>998</v>
      </c>
      <c r="T629" s="29" t="s">
        <v>992</v>
      </c>
      <c r="U629" s="24"/>
    </row>
    <row r="630">
      <c r="A630" s="30">
        <v>1.6000548497E10</v>
      </c>
      <c r="B630" s="20" t="s">
        <v>984</v>
      </c>
      <c r="C630" s="21">
        <v>0.13</v>
      </c>
      <c r="D630" s="21">
        <v>0.045</v>
      </c>
      <c r="E630" s="21">
        <v>0.02</v>
      </c>
      <c r="F630" s="22">
        <v>15.0</v>
      </c>
      <c r="G630" s="23"/>
      <c r="H630" s="24" t="s">
        <v>985</v>
      </c>
      <c r="I630" s="21" t="s">
        <v>986</v>
      </c>
      <c r="J630" s="24" t="s">
        <v>987</v>
      </c>
      <c r="K630" s="21" t="s">
        <v>988</v>
      </c>
      <c r="L630" s="25" t="s">
        <v>989</v>
      </c>
      <c r="M630" s="26" t="s">
        <v>28</v>
      </c>
      <c r="N630" s="24" t="s">
        <v>320</v>
      </c>
      <c r="O630" s="24" t="s">
        <v>321</v>
      </c>
      <c r="P630" s="27"/>
      <c r="Q630" s="27"/>
      <c r="R630" s="28" t="s">
        <v>990</v>
      </c>
      <c r="S630" s="8" t="s">
        <v>991</v>
      </c>
      <c r="T630" s="29" t="s">
        <v>992</v>
      </c>
      <c r="U630" s="24"/>
    </row>
    <row r="631">
      <c r="A631" s="30">
        <v>1.6000507777E10</v>
      </c>
      <c r="B631" s="20" t="s">
        <v>999</v>
      </c>
      <c r="C631" s="21">
        <v>0.13</v>
      </c>
      <c r="D631" s="21">
        <v>0.045</v>
      </c>
      <c r="E631" s="21">
        <v>0.02</v>
      </c>
      <c r="F631" s="22">
        <v>15.0</v>
      </c>
      <c r="G631" s="23"/>
      <c r="H631" s="24" t="s">
        <v>985</v>
      </c>
      <c r="I631" s="21" t="s">
        <v>986</v>
      </c>
      <c r="J631" s="24" t="s">
        <v>1000</v>
      </c>
      <c r="K631" s="21" t="s">
        <v>1001</v>
      </c>
      <c r="L631" s="25" t="s">
        <v>1002</v>
      </c>
      <c r="M631" s="26" t="s">
        <v>28</v>
      </c>
      <c r="N631" s="24" t="s">
        <v>320</v>
      </c>
      <c r="O631" s="24" t="s">
        <v>321</v>
      </c>
      <c r="P631" s="27"/>
      <c r="Q631" s="27"/>
      <c r="R631" s="28" t="s">
        <v>1003</v>
      </c>
      <c r="S631" s="8" t="s">
        <v>1004</v>
      </c>
      <c r="T631" s="29" t="s">
        <v>992</v>
      </c>
      <c r="U631" s="24"/>
    </row>
    <row r="632">
      <c r="A632" s="30">
        <v>7.290008909761E12</v>
      </c>
      <c r="B632" s="20" t="s">
        <v>567</v>
      </c>
      <c r="C632" s="21">
        <v>0.056</v>
      </c>
      <c r="D632" s="21">
        <v>0.233</v>
      </c>
      <c r="E632" s="21">
        <v>0.056</v>
      </c>
      <c r="F632" s="22">
        <v>5.0</v>
      </c>
      <c r="G632" s="23"/>
      <c r="H632" s="24" t="s">
        <v>557</v>
      </c>
      <c r="I632" s="21" t="s">
        <v>558</v>
      </c>
      <c r="J632" s="24" t="s">
        <v>568</v>
      </c>
      <c r="K632" s="21" t="s">
        <v>569</v>
      </c>
      <c r="L632" s="25" t="s">
        <v>5259</v>
      </c>
      <c r="M632" s="26" t="s">
        <v>37</v>
      </c>
      <c r="N632" s="24" t="s">
        <v>365</v>
      </c>
      <c r="O632" s="24" t="s">
        <v>536</v>
      </c>
      <c r="P632" s="27"/>
      <c r="Q632" s="27"/>
      <c r="R632" s="28" t="s">
        <v>571</v>
      </c>
      <c r="S632" s="8" t="s">
        <v>572</v>
      </c>
      <c r="T632" s="29" t="e">
        <v>#N/A</v>
      </c>
      <c r="U632" s="24"/>
    </row>
    <row r="633">
      <c r="A633" s="30">
        <v>7.290110113421E12</v>
      </c>
      <c r="B633" s="20" t="s">
        <v>580</v>
      </c>
      <c r="C633" s="21">
        <v>0.055</v>
      </c>
      <c r="D633" s="21">
        <v>0.226</v>
      </c>
      <c r="E633" s="21">
        <v>0.055</v>
      </c>
      <c r="F633" s="22">
        <v>5.0</v>
      </c>
      <c r="G633" s="23"/>
      <c r="H633" s="24" t="s">
        <v>557</v>
      </c>
      <c r="I633" s="21" t="s">
        <v>558</v>
      </c>
      <c r="J633" s="24" t="s">
        <v>581</v>
      </c>
      <c r="K633" s="21" t="s">
        <v>582</v>
      </c>
      <c r="L633" s="25" t="s">
        <v>583</v>
      </c>
      <c r="M633" s="26" t="s">
        <v>28</v>
      </c>
      <c r="N633" s="24" t="s">
        <v>365</v>
      </c>
      <c r="O633" s="24" t="s">
        <v>536</v>
      </c>
      <c r="P633" s="27"/>
      <c r="Q633" s="27"/>
      <c r="R633" s="28" t="s">
        <v>584</v>
      </c>
      <c r="S633" s="8" t="s">
        <v>585</v>
      </c>
      <c r="T633" s="29" t="s">
        <v>566</v>
      </c>
      <c r="U633" s="24"/>
    </row>
    <row r="634">
      <c r="A634" s="30">
        <v>7.290001594568E12</v>
      </c>
      <c r="B634" s="20" t="s">
        <v>574</v>
      </c>
      <c r="C634" s="21">
        <v>0.065</v>
      </c>
      <c r="D634" s="21">
        <v>0.17</v>
      </c>
      <c r="E634" s="21">
        <v>0.06</v>
      </c>
      <c r="F634" s="22">
        <v>5.0</v>
      </c>
      <c r="G634" s="23"/>
      <c r="H634" s="24" t="s">
        <v>557</v>
      </c>
      <c r="I634" s="21" t="s">
        <v>558</v>
      </c>
      <c r="J634" s="24" t="s">
        <v>575</v>
      </c>
      <c r="K634" s="21" t="s">
        <v>576</v>
      </c>
      <c r="L634" s="25" t="s">
        <v>5260</v>
      </c>
      <c r="M634" s="26" t="s">
        <v>37</v>
      </c>
      <c r="N634" s="24" t="s">
        <v>365</v>
      </c>
      <c r="O634" s="24" t="s">
        <v>543</v>
      </c>
      <c r="P634" s="27"/>
      <c r="Q634" s="27"/>
      <c r="R634" s="31" t="s">
        <v>578</v>
      </c>
      <c r="S634" s="33" t="s">
        <v>579</v>
      </c>
      <c r="T634" s="29" t="e">
        <v>#N/A</v>
      </c>
      <c r="U634" s="24"/>
    </row>
    <row r="635">
      <c r="A635" s="30">
        <v>7.290110110352E12</v>
      </c>
      <c r="B635" s="20" t="s">
        <v>556</v>
      </c>
      <c r="C635" s="21">
        <v>0.06</v>
      </c>
      <c r="D635" s="21">
        <v>0.23</v>
      </c>
      <c r="E635" s="21">
        <v>0.06</v>
      </c>
      <c r="F635" s="22">
        <v>5.0</v>
      </c>
      <c r="G635" s="23"/>
      <c r="H635" s="24" t="s">
        <v>557</v>
      </c>
      <c r="I635" s="21" t="s">
        <v>558</v>
      </c>
      <c r="J635" s="24" t="s">
        <v>559</v>
      </c>
      <c r="K635" s="21" t="s">
        <v>560</v>
      </c>
      <c r="L635" s="25" t="s">
        <v>561</v>
      </c>
      <c r="M635" s="26" t="s">
        <v>28</v>
      </c>
      <c r="N635" s="24" t="s">
        <v>562</v>
      </c>
      <c r="O635" s="24" t="s">
        <v>563</v>
      </c>
      <c r="P635" s="27"/>
      <c r="Q635" s="27"/>
      <c r="R635" s="31" t="s">
        <v>564</v>
      </c>
      <c r="S635" s="8" t="s">
        <v>565</v>
      </c>
      <c r="T635" s="29" t="s">
        <v>566</v>
      </c>
      <c r="U635" s="24"/>
    </row>
    <row r="636">
      <c r="A636" s="30">
        <v>7.290000074245E12</v>
      </c>
      <c r="B636" s="20" t="s">
        <v>5261</v>
      </c>
      <c r="C636" s="21">
        <v>0.2</v>
      </c>
      <c r="D636" s="21">
        <v>0.078</v>
      </c>
      <c r="E636" s="21">
        <v>0.075</v>
      </c>
      <c r="F636" s="22">
        <v>4.0</v>
      </c>
      <c r="G636" s="23"/>
      <c r="H636" s="24" t="s">
        <v>948</v>
      </c>
      <c r="I636" s="21" t="s">
        <v>5262</v>
      </c>
      <c r="J636" s="24" t="s">
        <v>965</v>
      </c>
      <c r="K636" s="21" t="s">
        <v>966</v>
      </c>
      <c r="L636" s="25" t="s">
        <v>967</v>
      </c>
      <c r="M636" s="26" t="s">
        <v>37</v>
      </c>
      <c r="N636" s="24" t="s">
        <v>954</v>
      </c>
      <c r="O636" s="24" t="s">
        <v>948</v>
      </c>
      <c r="P636" s="27"/>
      <c r="Q636" s="27"/>
      <c r="R636" s="28" t="s">
        <v>968</v>
      </c>
      <c r="S636" s="8" t="s">
        <v>969</v>
      </c>
      <c r="T636" s="29" t="e">
        <v>#N/A</v>
      </c>
      <c r="U636" s="24"/>
    </row>
    <row r="637">
      <c r="A637" s="30">
        <v>7.290000074375E12</v>
      </c>
      <c r="B637" s="20" t="s">
        <v>5263</v>
      </c>
      <c r="C637" s="21">
        <v>0.2</v>
      </c>
      <c r="D637" s="21">
        <v>0.06699999</v>
      </c>
      <c r="E637" s="21">
        <v>0.045</v>
      </c>
      <c r="F637" s="22">
        <v>7.0</v>
      </c>
      <c r="G637" s="23"/>
      <c r="H637" s="24" t="s">
        <v>948</v>
      </c>
      <c r="I637" s="21" t="s">
        <v>5262</v>
      </c>
      <c r="J637" s="24" t="s">
        <v>959</v>
      </c>
      <c r="K637" s="21" t="s">
        <v>960</v>
      </c>
      <c r="L637" s="25" t="s">
        <v>961</v>
      </c>
      <c r="M637" s="26" t="s">
        <v>37</v>
      </c>
      <c r="N637" s="24" t="s">
        <v>954</v>
      </c>
      <c r="O637" s="24" t="s">
        <v>948</v>
      </c>
      <c r="P637" s="27"/>
      <c r="Q637" s="27"/>
      <c r="R637" s="28" t="s">
        <v>962</v>
      </c>
      <c r="S637" s="8" t="s">
        <v>963</v>
      </c>
      <c r="T637" s="29" t="e">
        <v>#N/A</v>
      </c>
      <c r="U637" s="24"/>
    </row>
    <row r="638">
      <c r="A638" s="30">
        <v>7.290000074252E12</v>
      </c>
      <c r="B638" s="20" t="s">
        <v>5264</v>
      </c>
      <c r="C638" s="21">
        <v>0.2</v>
      </c>
      <c r="D638" s="21">
        <v>0.075</v>
      </c>
      <c r="E638" s="21">
        <v>0.055</v>
      </c>
      <c r="F638" s="22">
        <v>5.0</v>
      </c>
      <c r="G638" s="23"/>
      <c r="H638" s="24" t="s">
        <v>948</v>
      </c>
      <c r="I638" s="21" t="s">
        <v>5262</v>
      </c>
      <c r="J638" s="24" t="s">
        <v>951</v>
      </c>
      <c r="K638" s="21" t="s">
        <v>952</v>
      </c>
      <c r="L638" s="25" t="s">
        <v>953</v>
      </c>
      <c r="M638" s="26" t="s">
        <v>37</v>
      </c>
      <c r="N638" s="24" t="s">
        <v>954</v>
      </c>
      <c r="O638" s="24" t="s">
        <v>948</v>
      </c>
      <c r="P638" s="27"/>
      <c r="Q638" s="27"/>
      <c r="R638" s="31" t="s">
        <v>955</v>
      </c>
      <c r="S638" s="33" t="s">
        <v>956</v>
      </c>
      <c r="T638" s="29" t="e">
        <v>#N/A</v>
      </c>
      <c r="U638" s="24"/>
    </row>
    <row r="639">
      <c r="A639" s="30">
        <v>7.290107937597E12</v>
      </c>
      <c r="B639" s="20" t="s">
        <v>3966</v>
      </c>
      <c r="C639" s="21">
        <v>0.16</v>
      </c>
      <c r="D639" s="21">
        <v>0.05</v>
      </c>
      <c r="E639" s="21">
        <v>0.03</v>
      </c>
      <c r="F639" s="22">
        <v>10.0</v>
      </c>
      <c r="G639" s="23"/>
      <c r="H639" s="24" t="s">
        <v>3952</v>
      </c>
      <c r="I639" s="21" t="s">
        <v>3953</v>
      </c>
      <c r="J639" s="24" t="s">
        <v>3967</v>
      </c>
      <c r="K639" s="21" t="s">
        <v>3968</v>
      </c>
      <c r="L639" s="25" t="s">
        <v>3969</v>
      </c>
      <c r="M639" s="26" t="s">
        <v>28</v>
      </c>
      <c r="N639" s="24" t="s">
        <v>501</v>
      </c>
      <c r="O639" s="24" t="s">
        <v>502</v>
      </c>
      <c r="P639" s="27"/>
      <c r="Q639" s="27"/>
      <c r="R639" s="31" t="s">
        <v>3970</v>
      </c>
      <c r="S639" s="33" t="s">
        <v>3971</v>
      </c>
      <c r="T639" s="29" t="s">
        <v>3972</v>
      </c>
      <c r="U639" s="24"/>
    </row>
    <row r="640">
      <c r="A640" s="30">
        <v>7.290106520066E12</v>
      </c>
      <c r="B640" s="20" t="s">
        <v>3991</v>
      </c>
      <c r="C640" s="21">
        <v>0.26</v>
      </c>
      <c r="D640" s="21">
        <v>0.09</v>
      </c>
      <c r="E640" s="21">
        <v>0.03</v>
      </c>
      <c r="F640" s="22">
        <v>10.0</v>
      </c>
      <c r="G640" s="23"/>
      <c r="H640" s="24" t="s">
        <v>3952</v>
      </c>
      <c r="I640" s="21" t="s">
        <v>3953</v>
      </c>
      <c r="J640" s="24" t="s">
        <v>3992</v>
      </c>
      <c r="K640" s="21" t="s">
        <v>3993</v>
      </c>
      <c r="L640" s="25" t="s">
        <v>3994</v>
      </c>
      <c r="M640" s="26" t="s">
        <v>28</v>
      </c>
      <c r="N640" s="24" t="s">
        <v>2364</v>
      </c>
      <c r="O640" s="24" t="s">
        <v>2365</v>
      </c>
      <c r="P640" s="27"/>
      <c r="Q640" s="27"/>
      <c r="R640" s="28" t="s">
        <v>3995</v>
      </c>
      <c r="S640" s="8" t="s">
        <v>3996</v>
      </c>
      <c r="T640" s="29" t="s">
        <v>3959</v>
      </c>
      <c r="U640" s="24"/>
    </row>
    <row r="641">
      <c r="A641" s="30">
        <v>7.290107944366E12</v>
      </c>
      <c r="B641" s="20" t="s">
        <v>3997</v>
      </c>
      <c r="C641" s="21">
        <v>0.26</v>
      </c>
      <c r="D641" s="21">
        <v>0.09</v>
      </c>
      <c r="E641" s="21">
        <v>0.03</v>
      </c>
      <c r="F641" s="22">
        <v>10.0</v>
      </c>
      <c r="G641" s="23"/>
      <c r="H641" s="24" t="s">
        <v>3952</v>
      </c>
      <c r="I641" s="21" t="s">
        <v>3953</v>
      </c>
      <c r="J641" s="24" t="s">
        <v>3998</v>
      </c>
      <c r="K641" s="21" t="s">
        <v>3999</v>
      </c>
      <c r="L641" s="25" t="s">
        <v>4000</v>
      </c>
      <c r="M641" s="26" t="s">
        <v>28</v>
      </c>
      <c r="N641" s="24" t="s">
        <v>2364</v>
      </c>
      <c r="O641" s="24" t="s">
        <v>2365</v>
      </c>
      <c r="P641" s="27"/>
      <c r="Q641" s="27"/>
      <c r="R641" s="28" t="s">
        <v>4001</v>
      </c>
      <c r="S641" s="8" t="s">
        <v>4002</v>
      </c>
      <c r="T641" s="29" t="s">
        <v>3959</v>
      </c>
      <c r="U641" s="24"/>
    </row>
    <row r="642">
      <c r="A642" s="30">
        <v>7.290106669406E12</v>
      </c>
      <c r="B642" s="20" t="s">
        <v>3960</v>
      </c>
      <c r="C642" s="21">
        <v>0.275</v>
      </c>
      <c r="D642" s="21">
        <v>0.105</v>
      </c>
      <c r="E642" s="21">
        <v>0.03</v>
      </c>
      <c r="F642" s="22">
        <v>10.0</v>
      </c>
      <c r="G642" s="23"/>
      <c r="H642" s="24" t="s">
        <v>3952</v>
      </c>
      <c r="I642" s="21" t="s">
        <v>3953</v>
      </c>
      <c r="J642" s="24" t="s">
        <v>3961</v>
      </c>
      <c r="K642" s="21" t="s">
        <v>3962</v>
      </c>
      <c r="L642" s="25" t="s">
        <v>3963</v>
      </c>
      <c r="M642" s="26" t="s">
        <v>28</v>
      </c>
      <c r="N642" s="24" t="s">
        <v>2364</v>
      </c>
      <c r="O642" s="24" t="s">
        <v>2365</v>
      </c>
      <c r="P642" s="27"/>
      <c r="Q642" s="27"/>
      <c r="R642" s="28" t="s">
        <v>3964</v>
      </c>
      <c r="S642" s="8" t="s">
        <v>3965</v>
      </c>
      <c r="T642" s="29" t="s">
        <v>3959</v>
      </c>
      <c r="U642" s="24"/>
    </row>
    <row r="643">
      <c r="A643" s="30">
        <v>7.290107958523E12</v>
      </c>
      <c r="B643" s="20" t="s">
        <v>3951</v>
      </c>
      <c r="C643" s="21">
        <v>0.275</v>
      </c>
      <c r="D643" s="21">
        <v>0.105</v>
      </c>
      <c r="E643" s="21">
        <v>0.03</v>
      </c>
      <c r="F643" s="22">
        <v>10.0</v>
      </c>
      <c r="G643" s="23"/>
      <c r="H643" s="24" t="s">
        <v>3952</v>
      </c>
      <c r="I643" s="21" t="s">
        <v>3953</v>
      </c>
      <c r="J643" s="24" t="s">
        <v>3954</v>
      </c>
      <c r="K643" s="21" t="s">
        <v>3955</v>
      </c>
      <c r="L643" s="25" t="s">
        <v>3956</v>
      </c>
      <c r="M643" s="26" t="s">
        <v>28</v>
      </c>
      <c r="N643" s="24" t="s">
        <v>2364</v>
      </c>
      <c r="O643" s="24" t="s">
        <v>2365</v>
      </c>
      <c r="P643" s="27"/>
      <c r="Q643" s="27"/>
      <c r="R643" s="28" t="s">
        <v>3957</v>
      </c>
      <c r="S643" s="8" t="s">
        <v>3958</v>
      </c>
      <c r="T643" s="29" t="s">
        <v>3959</v>
      </c>
      <c r="U643" s="24"/>
    </row>
    <row r="644">
      <c r="A644" s="30">
        <v>7.290104061219E12</v>
      </c>
      <c r="B644" s="20" t="s">
        <v>3985</v>
      </c>
      <c r="C644" s="21">
        <v>0.26</v>
      </c>
      <c r="D644" s="21">
        <v>0.09</v>
      </c>
      <c r="E644" s="21">
        <v>0.03</v>
      </c>
      <c r="F644" s="22">
        <v>10.0</v>
      </c>
      <c r="G644" s="23"/>
      <c r="H644" s="24" t="s">
        <v>3952</v>
      </c>
      <c r="I644" s="21" t="s">
        <v>3953</v>
      </c>
      <c r="J644" s="24" t="s">
        <v>3986</v>
      </c>
      <c r="K644" s="21" t="s">
        <v>3987</v>
      </c>
      <c r="L644" s="25" t="s">
        <v>3988</v>
      </c>
      <c r="M644" s="26" t="s">
        <v>28</v>
      </c>
      <c r="N644" s="24" t="s">
        <v>2364</v>
      </c>
      <c r="O644" s="24" t="s">
        <v>2365</v>
      </c>
      <c r="P644" s="27"/>
      <c r="Q644" s="27"/>
      <c r="R644" s="28" t="s">
        <v>3989</v>
      </c>
      <c r="S644" s="8" t="s">
        <v>3990</v>
      </c>
      <c r="T644" s="29" t="s">
        <v>3959</v>
      </c>
      <c r="U644" s="24"/>
    </row>
    <row r="645">
      <c r="A645" s="30">
        <v>7.290112332707E12</v>
      </c>
      <c r="B645" s="20" t="s">
        <v>3973</v>
      </c>
      <c r="C645" s="21">
        <v>0.11</v>
      </c>
      <c r="D645" s="21">
        <v>0.23</v>
      </c>
      <c r="E645" s="21">
        <v>0.035</v>
      </c>
      <c r="F645" s="22">
        <v>9.0</v>
      </c>
      <c r="G645" s="23"/>
      <c r="H645" s="24" t="s">
        <v>3952</v>
      </c>
      <c r="I645" s="21" t="s">
        <v>3953</v>
      </c>
      <c r="J645" s="24" t="s">
        <v>3974</v>
      </c>
      <c r="K645" s="21" t="s">
        <v>3975</v>
      </c>
      <c r="L645" s="25" t="s">
        <v>3976</v>
      </c>
      <c r="M645" s="26" t="s">
        <v>28</v>
      </c>
      <c r="N645" s="24" t="s">
        <v>2364</v>
      </c>
      <c r="O645" s="24" t="s">
        <v>2365</v>
      </c>
      <c r="P645" s="27"/>
      <c r="Q645" s="27"/>
      <c r="R645" s="28" t="s">
        <v>3977</v>
      </c>
      <c r="S645" s="33" t="s">
        <v>3978</v>
      </c>
      <c r="T645" s="29" t="s">
        <v>3959</v>
      </c>
      <c r="U645" s="24"/>
    </row>
    <row r="646">
      <c r="A646" s="30">
        <v>7.290112331946E12</v>
      </c>
      <c r="B646" s="20" t="s">
        <v>3979</v>
      </c>
      <c r="C646" s="21">
        <v>0.26</v>
      </c>
      <c r="D646" s="21">
        <v>0.09</v>
      </c>
      <c r="E646" s="21">
        <v>0.03</v>
      </c>
      <c r="F646" s="22">
        <v>10.0</v>
      </c>
      <c r="G646" s="23"/>
      <c r="H646" s="24" t="s">
        <v>3952</v>
      </c>
      <c r="I646" s="21" t="s">
        <v>3953</v>
      </c>
      <c r="J646" s="24" t="s">
        <v>3980</v>
      </c>
      <c r="K646" s="21" t="s">
        <v>3981</v>
      </c>
      <c r="L646" s="25" t="s">
        <v>3982</v>
      </c>
      <c r="M646" s="26" t="s">
        <v>28</v>
      </c>
      <c r="N646" s="24" t="s">
        <v>2364</v>
      </c>
      <c r="O646" s="24" t="s">
        <v>2365</v>
      </c>
      <c r="P646" s="27"/>
      <c r="Q646" s="27"/>
      <c r="R646" s="28" t="s">
        <v>3983</v>
      </c>
      <c r="S646" s="33" t="s">
        <v>3984</v>
      </c>
      <c r="T646" s="29" t="s">
        <v>3959</v>
      </c>
      <c r="U646" s="24"/>
    </row>
    <row r="647">
      <c r="A647" s="30">
        <v>9.01628E7</v>
      </c>
      <c r="B647" s="20" t="s">
        <v>3944</v>
      </c>
      <c r="C647" s="21">
        <v>0.053</v>
      </c>
      <c r="D647" s="21">
        <v>0.134</v>
      </c>
      <c r="E647" s="21">
        <v>0.053</v>
      </c>
      <c r="F647" s="22">
        <v>6.0</v>
      </c>
      <c r="G647" s="23"/>
      <c r="H647" s="24" t="s">
        <v>3938</v>
      </c>
      <c r="I647" s="21" t="s">
        <v>3939</v>
      </c>
      <c r="J647" s="24" t="s">
        <v>3945</v>
      </c>
      <c r="K647" s="21" t="s">
        <v>3946</v>
      </c>
      <c r="L647" s="25" t="s">
        <v>3947</v>
      </c>
      <c r="M647" s="26" t="s">
        <v>28</v>
      </c>
      <c r="N647" s="24" t="s">
        <v>340</v>
      </c>
      <c r="O647" s="24" t="s">
        <v>449</v>
      </c>
      <c r="P647" s="27"/>
      <c r="Q647" s="27"/>
      <c r="R647" s="28" t="s">
        <v>3948</v>
      </c>
      <c r="S647" s="8" t="s">
        <v>3949</v>
      </c>
      <c r="T647" s="29" t="s">
        <v>3950</v>
      </c>
      <c r="U647" s="24"/>
    </row>
    <row r="648">
      <c r="A648" s="30">
        <v>9.0162602E7</v>
      </c>
      <c r="B648" s="20" t="s">
        <v>3937</v>
      </c>
      <c r="C648" s="21">
        <v>0.053</v>
      </c>
      <c r="D648" s="21">
        <v>0.134</v>
      </c>
      <c r="E648" s="21">
        <v>0.053</v>
      </c>
      <c r="F648" s="22">
        <v>6.0</v>
      </c>
      <c r="G648" s="23"/>
      <c r="H648" s="24" t="s">
        <v>3938</v>
      </c>
      <c r="I648" s="21" t="s">
        <v>3939</v>
      </c>
      <c r="J648" s="24" t="s">
        <v>3940</v>
      </c>
      <c r="K648" s="21" t="s">
        <v>3941</v>
      </c>
      <c r="L648" s="25" t="s">
        <v>3942</v>
      </c>
      <c r="M648" s="26" t="s">
        <v>3943</v>
      </c>
      <c r="N648" s="24" t="s">
        <v>340</v>
      </c>
      <c r="O648" s="24" t="s">
        <v>449</v>
      </c>
      <c r="P648" s="27"/>
      <c r="Q648" s="27"/>
      <c r="R648" s="31"/>
      <c r="S648" s="33"/>
      <c r="T648" s="29"/>
      <c r="U648" s="24"/>
    </row>
    <row r="649">
      <c r="A649" s="30">
        <v>44248.0</v>
      </c>
      <c r="B649" s="20" t="s">
        <v>4003</v>
      </c>
      <c r="C649" s="21">
        <v>0.073</v>
      </c>
      <c r="D649" s="21">
        <v>0.14</v>
      </c>
      <c r="E649" s="21">
        <v>0.073</v>
      </c>
      <c r="F649" s="22">
        <v>4.0</v>
      </c>
      <c r="G649" s="23"/>
      <c r="H649" s="24" t="s">
        <v>4004</v>
      </c>
      <c r="I649" s="21" t="s">
        <v>4005</v>
      </c>
      <c r="J649" s="24" t="s">
        <v>4006</v>
      </c>
      <c r="K649" s="21" t="s">
        <v>4007</v>
      </c>
      <c r="L649" s="25" t="s">
        <v>4008</v>
      </c>
      <c r="M649" s="26" t="s">
        <v>28</v>
      </c>
      <c r="N649" s="24" t="s">
        <v>975</v>
      </c>
      <c r="O649" s="24" t="s">
        <v>4009</v>
      </c>
      <c r="P649" s="27"/>
      <c r="Q649" s="27"/>
      <c r="R649" s="31" t="s">
        <v>4010</v>
      </c>
      <c r="S649" s="33" t="s">
        <v>4011</v>
      </c>
      <c r="T649" s="29" t="s">
        <v>4005</v>
      </c>
      <c r="U649" s="24"/>
    </row>
    <row r="650">
      <c r="A650" s="30">
        <v>7.290013702418E12</v>
      </c>
      <c r="B650" s="20" t="s">
        <v>4201</v>
      </c>
      <c r="C650" s="21">
        <v>0.065</v>
      </c>
      <c r="D650" s="21">
        <v>0.221</v>
      </c>
      <c r="E650" s="21">
        <v>0.065</v>
      </c>
      <c r="F650" s="22">
        <v>5.0</v>
      </c>
      <c r="G650" s="23"/>
      <c r="H650" s="24" t="s">
        <v>4107</v>
      </c>
      <c r="I650" s="21" t="s">
        <v>4108</v>
      </c>
      <c r="J650" s="24" t="s">
        <v>4202</v>
      </c>
      <c r="K650" s="21" t="s">
        <v>4203</v>
      </c>
      <c r="L650" s="25" t="s">
        <v>4204</v>
      </c>
      <c r="M650" s="26" t="s">
        <v>28</v>
      </c>
      <c r="N650" s="24" t="s">
        <v>4136</v>
      </c>
      <c r="O650" s="24" t="s">
        <v>4137</v>
      </c>
      <c r="P650" s="27"/>
      <c r="Q650" s="27"/>
      <c r="R650" s="28" t="s">
        <v>4205</v>
      </c>
      <c r="S650" s="8" t="s">
        <v>4206</v>
      </c>
      <c r="T650" s="29" t="s">
        <v>4108</v>
      </c>
      <c r="U650" s="24"/>
    </row>
    <row r="651">
      <c r="A651" s="30">
        <v>7.290013702425E12</v>
      </c>
      <c r="B651" s="20" t="s">
        <v>4132</v>
      </c>
      <c r="C651" s="21">
        <v>0.065</v>
      </c>
      <c r="D651" s="21">
        <v>0.221</v>
      </c>
      <c r="E651" s="21">
        <v>0.065</v>
      </c>
      <c r="F651" s="22">
        <v>5.0</v>
      </c>
      <c r="G651" s="23"/>
      <c r="H651" s="24" t="s">
        <v>4107</v>
      </c>
      <c r="I651" s="21" t="s">
        <v>4108</v>
      </c>
      <c r="J651" s="24" t="s">
        <v>4133</v>
      </c>
      <c r="K651" s="21" t="s">
        <v>4134</v>
      </c>
      <c r="L651" s="25" t="s">
        <v>4135</v>
      </c>
      <c r="M651" s="26" t="s">
        <v>28</v>
      </c>
      <c r="N651" s="24" t="s">
        <v>4136</v>
      </c>
      <c r="O651" s="24" t="s">
        <v>4137</v>
      </c>
      <c r="P651" s="27"/>
      <c r="Q651" s="27"/>
      <c r="R651" s="28" t="s">
        <v>4138</v>
      </c>
      <c r="S651" s="8" t="s">
        <v>4139</v>
      </c>
      <c r="T651" s="29" t="s">
        <v>4108</v>
      </c>
      <c r="U651" s="24"/>
    </row>
    <row r="652">
      <c r="A652" s="30">
        <v>7.290011051396E12</v>
      </c>
      <c r="B652" s="20" t="s">
        <v>4195</v>
      </c>
      <c r="C652" s="21">
        <v>0.09</v>
      </c>
      <c r="D652" s="21">
        <v>0.33</v>
      </c>
      <c r="E652" s="21">
        <v>0.09</v>
      </c>
      <c r="F652" s="22">
        <v>3.0</v>
      </c>
      <c r="G652" s="23"/>
      <c r="H652" s="24" t="s">
        <v>4107</v>
      </c>
      <c r="I652" s="21" t="s">
        <v>4108</v>
      </c>
      <c r="J652" s="24" t="s">
        <v>4196</v>
      </c>
      <c r="K652" s="21" t="s">
        <v>4197</v>
      </c>
      <c r="L652" s="25" t="s">
        <v>4198</v>
      </c>
      <c r="M652" s="26" t="s">
        <v>28</v>
      </c>
      <c r="N652" s="24" t="s">
        <v>4136</v>
      </c>
      <c r="O652" s="24" t="s">
        <v>4192</v>
      </c>
      <c r="P652" s="27"/>
      <c r="Q652" s="27"/>
      <c r="R652" s="28" t="s">
        <v>4199</v>
      </c>
      <c r="S652" s="8" t="s">
        <v>4200</v>
      </c>
      <c r="T652" s="29" t="s">
        <v>4108</v>
      </c>
      <c r="U652" s="24"/>
    </row>
    <row r="653">
      <c r="A653" s="30">
        <v>7.290011051389E12</v>
      </c>
      <c r="B653" s="20" t="s">
        <v>4188</v>
      </c>
      <c r="C653" s="21">
        <v>0.09</v>
      </c>
      <c r="D653" s="21">
        <v>0.33</v>
      </c>
      <c r="E653" s="21">
        <v>0.09</v>
      </c>
      <c r="F653" s="22">
        <v>3.0</v>
      </c>
      <c r="G653" s="23"/>
      <c r="H653" s="24" t="s">
        <v>4107</v>
      </c>
      <c r="I653" s="21" t="s">
        <v>4108</v>
      </c>
      <c r="J653" s="24" t="s">
        <v>4189</v>
      </c>
      <c r="K653" s="21" t="s">
        <v>4190</v>
      </c>
      <c r="L653" s="25" t="s">
        <v>4191</v>
      </c>
      <c r="M653" s="26" t="s">
        <v>28</v>
      </c>
      <c r="N653" s="24" t="s">
        <v>4136</v>
      </c>
      <c r="O653" s="24" t="s">
        <v>4192</v>
      </c>
      <c r="P653" s="27"/>
      <c r="Q653" s="27"/>
      <c r="R653" s="28" t="s">
        <v>4193</v>
      </c>
      <c r="S653" s="8" t="s">
        <v>4194</v>
      </c>
      <c r="T653" s="29" t="s">
        <v>4108</v>
      </c>
      <c r="U653" s="24"/>
    </row>
    <row r="654">
      <c r="A654" s="30">
        <v>7.290012404238E12</v>
      </c>
      <c r="B654" s="20" t="s">
        <v>4180</v>
      </c>
      <c r="C654" s="21">
        <v>0.09</v>
      </c>
      <c r="D654" s="21">
        <v>0.329</v>
      </c>
      <c r="E654" s="21">
        <v>0.09</v>
      </c>
      <c r="F654" s="22">
        <v>3.0</v>
      </c>
      <c r="G654" s="23"/>
      <c r="H654" s="24" t="s">
        <v>4107</v>
      </c>
      <c r="I654" s="21" t="s">
        <v>4108</v>
      </c>
      <c r="J654" s="24" t="s">
        <v>4181</v>
      </c>
      <c r="K654" s="21" t="s">
        <v>4182</v>
      </c>
      <c r="L654" s="25" t="s">
        <v>4183</v>
      </c>
      <c r="M654" s="26" t="s">
        <v>28</v>
      </c>
      <c r="N654" s="24" t="s">
        <v>4184</v>
      </c>
      <c r="O654" s="24" t="s">
        <v>4185</v>
      </c>
      <c r="P654" s="27"/>
      <c r="Q654" s="27"/>
      <c r="R654" s="28" t="s">
        <v>4186</v>
      </c>
      <c r="S654" s="8" t="s">
        <v>4187</v>
      </c>
      <c r="T654" s="29" t="s">
        <v>4108</v>
      </c>
      <c r="U654" s="24"/>
    </row>
    <row r="655">
      <c r="A655" s="30">
        <v>7.290011051358E12</v>
      </c>
      <c r="B655" s="20" t="s">
        <v>4225</v>
      </c>
      <c r="C655" s="21">
        <v>0.053</v>
      </c>
      <c r="D655" s="21">
        <v>0.196</v>
      </c>
      <c r="E655" s="21">
        <v>0.053</v>
      </c>
      <c r="F655" s="22">
        <v>6.0</v>
      </c>
      <c r="G655" s="23"/>
      <c r="H655" s="24" t="s">
        <v>4107</v>
      </c>
      <c r="I655" s="21" t="s">
        <v>4108</v>
      </c>
      <c r="J655" s="24" t="s">
        <v>4226</v>
      </c>
      <c r="K655" s="21" t="s">
        <v>4227</v>
      </c>
      <c r="L655" s="25" t="s">
        <v>4228</v>
      </c>
      <c r="M655" s="26" t="s">
        <v>28</v>
      </c>
      <c r="N655" s="24" t="s">
        <v>2158</v>
      </c>
      <c r="O655" s="24" t="s">
        <v>2166</v>
      </c>
      <c r="P655" s="27"/>
      <c r="Q655" s="27"/>
      <c r="R655" s="28" t="s">
        <v>4229</v>
      </c>
      <c r="S655" s="8" t="s">
        <v>4230</v>
      </c>
      <c r="T655" s="29" t="s">
        <v>4108</v>
      </c>
      <c r="U655" s="24"/>
    </row>
    <row r="656">
      <c r="A656" s="30">
        <v>7.290014791626E12</v>
      </c>
      <c r="B656" s="20" t="s">
        <v>4231</v>
      </c>
      <c r="C656" s="21">
        <v>0.053</v>
      </c>
      <c r="D656" s="21">
        <v>0.196</v>
      </c>
      <c r="E656" s="21">
        <v>0.053</v>
      </c>
      <c r="F656" s="22">
        <v>6.0</v>
      </c>
      <c r="G656" s="23"/>
      <c r="H656" s="24" t="s">
        <v>4107</v>
      </c>
      <c r="I656" s="21" t="s">
        <v>4108</v>
      </c>
      <c r="J656" s="24" t="s">
        <v>4232</v>
      </c>
      <c r="K656" s="21" t="s">
        <v>4233</v>
      </c>
      <c r="L656" s="25" t="s">
        <v>4234</v>
      </c>
      <c r="M656" s="26" t="s">
        <v>28</v>
      </c>
      <c r="N656" s="24" t="s">
        <v>2158</v>
      </c>
      <c r="O656" s="24" t="s">
        <v>2166</v>
      </c>
      <c r="P656" s="27"/>
      <c r="Q656" s="27"/>
      <c r="R656" s="31" t="s">
        <v>4235</v>
      </c>
      <c r="S656" s="8" t="s">
        <v>4236</v>
      </c>
      <c r="T656" s="29" t="s">
        <v>4108</v>
      </c>
      <c r="U656" s="24"/>
    </row>
    <row r="657">
      <c r="A657" s="30">
        <v>7.290008757034E12</v>
      </c>
      <c r="B657" s="20" t="s">
        <v>4243</v>
      </c>
      <c r="C657" s="21">
        <v>0.053</v>
      </c>
      <c r="D657" s="21">
        <v>0.196</v>
      </c>
      <c r="E657" s="21">
        <v>0.053</v>
      </c>
      <c r="F657" s="22">
        <v>6.0</v>
      </c>
      <c r="G657" s="23"/>
      <c r="H657" s="24" t="s">
        <v>4107</v>
      </c>
      <c r="I657" s="21" t="s">
        <v>4108</v>
      </c>
      <c r="J657" s="24" t="s">
        <v>4244</v>
      </c>
      <c r="K657" s="21" t="s">
        <v>4245</v>
      </c>
      <c r="L657" s="25" t="s">
        <v>4246</v>
      </c>
      <c r="M657" s="26" t="s">
        <v>37</v>
      </c>
      <c r="N657" s="24" t="s">
        <v>2158</v>
      </c>
      <c r="O657" s="24" t="s">
        <v>2166</v>
      </c>
      <c r="P657" s="27"/>
      <c r="Q657" s="27"/>
      <c r="R657" s="31" t="s">
        <v>4247</v>
      </c>
      <c r="S657" s="8" t="s">
        <v>4248</v>
      </c>
      <c r="T657" s="29" t="e">
        <v>#N/A</v>
      </c>
      <c r="U657" s="24"/>
    </row>
    <row r="658">
      <c r="A658" s="30">
        <v>7.290000285849E12</v>
      </c>
      <c r="B658" s="20" t="s">
        <v>4237</v>
      </c>
      <c r="C658" s="21">
        <v>0.09</v>
      </c>
      <c r="D658" s="21">
        <v>0.329</v>
      </c>
      <c r="E658" s="21">
        <v>0.09</v>
      </c>
      <c r="F658" s="22">
        <v>3.0</v>
      </c>
      <c r="G658" s="23"/>
      <c r="H658" s="24" t="s">
        <v>4107</v>
      </c>
      <c r="I658" s="21" t="s">
        <v>4108</v>
      </c>
      <c r="J658" s="24" t="s">
        <v>4238</v>
      </c>
      <c r="K658" s="21" t="s">
        <v>4239</v>
      </c>
      <c r="L658" s="25" t="s">
        <v>4240</v>
      </c>
      <c r="M658" s="26" t="s">
        <v>37</v>
      </c>
      <c r="N658" s="24" t="s">
        <v>2158</v>
      </c>
      <c r="O658" s="24" t="s">
        <v>2159</v>
      </c>
      <c r="P658" s="27"/>
      <c r="Q658" s="27"/>
      <c r="R658" s="31" t="s">
        <v>4241</v>
      </c>
      <c r="S658" s="33" t="s">
        <v>4242</v>
      </c>
      <c r="T658" s="29" t="e">
        <v>#N/A</v>
      </c>
      <c r="U658" s="24"/>
    </row>
    <row r="659">
      <c r="A659" s="30">
        <v>7.290017888729E12</v>
      </c>
      <c r="B659" s="20" t="s">
        <v>4219</v>
      </c>
      <c r="C659" s="21">
        <v>0.085</v>
      </c>
      <c r="D659" s="21">
        <v>0.297</v>
      </c>
      <c r="E659" s="21">
        <v>0.085</v>
      </c>
      <c r="F659" s="22">
        <v>4.0</v>
      </c>
      <c r="G659" s="23"/>
      <c r="H659" s="24" t="s">
        <v>4107</v>
      </c>
      <c r="I659" s="21" t="s">
        <v>4108</v>
      </c>
      <c r="J659" s="24" t="s">
        <v>4220</v>
      </c>
      <c r="K659" s="21" t="s">
        <v>4221</v>
      </c>
      <c r="L659" s="25" t="s">
        <v>4222</v>
      </c>
      <c r="M659" s="26" t="s">
        <v>28</v>
      </c>
      <c r="N659" s="24" t="s">
        <v>2158</v>
      </c>
      <c r="O659" s="24" t="s">
        <v>2159</v>
      </c>
      <c r="P659" s="27"/>
      <c r="Q659" s="27"/>
      <c r="R659" s="31" t="s">
        <v>4223</v>
      </c>
      <c r="S659" s="8" t="s">
        <v>4224</v>
      </c>
      <c r="T659" s="29" t="s">
        <v>4108</v>
      </c>
      <c r="U659" s="24"/>
    </row>
    <row r="660">
      <c r="A660" s="30">
        <v>7.290017888842E12</v>
      </c>
      <c r="B660" s="20" t="s">
        <v>4213</v>
      </c>
      <c r="C660" s="21">
        <v>0.058</v>
      </c>
      <c r="D660" s="21">
        <v>0.145</v>
      </c>
      <c r="E660" s="21">
        <v>0.058</v>
      </c>
      <c r="F660" s="22">
        <v>5.0</v>
      </c>
      <c r="G660" s="23"/>
      <c r="H660" s="24" t="s">
        <v>4107</v>
      </c>
      <c r="I660" s="21" t="s">
        <v>4108</v>
      </c>
      <c r="J660" s="24" t="s">
        <v>4214</v>
      </c>
      <c r="K660" s="21" t="s">
        <v>4215</v>
      </c>
      <c r="L660" s="25" t="s">
        <v>4216</v>
      </c>
      <c r="M660" s="26" t="s">
        <v>28</v>
      </c>
      <c r="N660" s="24" t="s">
        <v>1351</v>
      </c>
      <c r="O660" s="24" t="s">
        <v>1359</v>
      </c>
      <c r="P660" s="27"/>
      <c r="Q660" s="27"/>
      <c r="R660" s="28" t="s">
        <v>4217</v>
      </c>
      <c r="S660" s="8" t="s">
        <v>4218</v>
      </c>
      <c r="T660" s="29" t="s">
        <v>4108</v>
      </c>
      <c r="U660" s="24"/>
    </row>
    <row r="661">
      <c r="A661" s="30">
        <v>7.290017888866E12</v>
      </c>
      <c r="B661" s="20" t="s">
        <v>4106</v>
      </c>
      <c r="C661" s="21">
        <v>0.058</v>
      </c>
      <c r="D661" s="21">
        <v>0.145</v>
      </c>
      <c r="E661" s="21">
        <v>0.058</v>
      </c>
      <c r="F661" s="22">
        <v>5.0</v>
      </c>
      <c r="G661" s="23"/>
      <c r="H661" s="24" t="s">
        <v>4107</v>
      </c>
      <c r="I661" s="21" t="s">
        <v>4108</v>
      </c>
      <c r="J661" s="24" t="s">
        <v>4109</v>
      </c>
      <c r="K661" s="21" t="s">
        <v>4110</v>
      </c>
      <c r="L661" s="25" t="s">
        <v>4111</v>
      </c>
      <c r="M661" s="26" t="s">
        <v>28</v>
      </c>
      <c r="N661" s="24" t="s">
        <v>1351</v>
      </c>
      <c r="O661" s="24" t="s">
        <v>1359</v>
      </c>
      <c r="P661" s="27"/>
      <c r="Q661" s="27"/>
      <c r="R661" s="28" t="s">
        <v>4112</v>
      </c>
      <c r="S661" s="8" t="s">
        <v>4113</v>
      </c>
      <c r="T661" s="29" t="s">
        <v>4108</v>
      </c>
      <c r="U661" s="24"/>
    </row>
    <row r="662">
      <c r="A662" s="30">
        <v>7.29000875701E12</v>
      </c>
      <c r="B662" s="20" t="s">
        <v>4114</v>
      </c>
      <c r="C662" s="21">
        <v>0.053</v>
      </c>
      <c r="D662" s="21">
        <v>0.196</v>
      </c>
      <c r="E662" s="21">
        <v>0.053</v>
      </c>
      <c r="F662" s="22">
        <v>6.0</v>
      </c>
      <c r="G662" s="23"/>
      <c r="H662" s="24" t="s">
        <v>4107</v>
      </c>
      <c r="I662" s="21" t="s">
        <v>4108</v>
      </c>
      <c r="J662" s="24" t="s">
        <v>4115</v>
      </c>
      <c r="K662" s="21" t="s">
        <v>4116</v>
      </c>
      <c r="L662" s="25" t="s">
        <v>4117</v>
      </c>
      <c r="M662" s="26" t="s">
        <v>37</v>
      </c>
      <c r="N662" s="24" t="s">
        <v>1351</v>
      </c>
      <c r="O662" s="24" t="s">
        <v>1359</v>
      </c>
      <c r="P662" s="27"/>
      <c r="Q662" s="27"/>
      <c r="R662" s="28" t="s">
        <v>4118</v>
      </c>
      <c r="S662" s="8" t="s">
        <v>4119</v>
      </c>
      <c r="T662" s="29" t="e">
        <v>#N/A</v>
      </c>
      <c r="U662" s="24"/>
    </row>
    <row r="663">
      <c r="A663" s="30">
        <v>7.290018471111E12</v>
      </c>
      <c r="B663" s="20" t="s">
        <v>4207</v>
      </c>
      <c r="C663" s="21">
        <v>0.065</v>
      </c>
      <c r="D663" s="21">
        <v>0.221</v>
      </c>
      <c r="E663" s="21">
        <v>0.065</v>
      </c>
      <c r="F663" s="22">
        <v>5.0</v>
      </c>
      <c r="G663" s="23"/>
      <c r="H663" s="24" t="s">
        <v>4107</v>
      </c>
      <c r="I663" s="21" t="s">
        <v>4108</v>
      </c>
      <c r="J663" s="24" t="s">
        <v>4208</v>
      </c>
      <c r="K663" s="21" t="s">
        <v>4209</v>
      </c>
      <c r="L663" s="25" t="s">
        <v>4210</v>
      </c>
      <c r="M663" s="26" t="s">
        <v>28</v>
      </c>
      <c r="N663" s="24" t="s">
        <v>1351</v>
      </c>
      <c r="O663" s="24" t="s">
        <v>1359</v>
      </c>
      <c r="P663" s="27"/>
      <c r="Q663" s="27"/>
      <c r="R663" s="28" t="s">
        <v>4211</v>
      </c>
      <c r="S663" s="8" t="s">
        <v>4212</v>
      </c>
      <c r="T663" s="29" t="s">
        <v>4108</v>
      </c>
      <c r="U663" s="24"/>
    </row>
    <row r="664">
      <c r="A664" s="30">
        <v>7.290012404184E12</v>
      </c>
      <c r="B664" s="20" t="s">
        <v>4140</v>
      </c>
      <c r="C664" s="21">
        <v>0.065</v>
      </c>
      <c r="D664" s="21">
        <v>0.221</v>
      </c>
      <c r="E664" s="21">
        <v>0.065</v>
      </c>
      <c r="F664" s="22">
        <v>5.0</v>
      </c>
      <c r="G664" s="23"/>
      <c r="H664" s="24" t="s">
        <v>4107</v>
      </c>
      <c r="I664" s="21" t="s">
        <v>4108</v>
      </c>
      <c r="J664" s="24" t="s">
        <v>4141</v>
      </c>
      <c r="K664" s="21" t="s">
        <v>4142</v>
      </c>
      <c r="L664" s="25" t="s">
        <v>4143</v>
      </c>
      <c r="M664" s="26" t="s">
        <v>28</v>
      </c>
      <c r="N664" s="24" t="s">
        <v>1351</v>
      </c>
      <c r="O664" s="24" t="s">
        <v>1359</v>
      </c>
      <c r="P664" s="27"/>
      <c r="Q664" s="27"/>
      <c r="R664" s="28" t="s">
        <v>4144</v>
      </c>
      <c r="S664" s="8" t="s">
        <v>4145</v>
      </c>
      <c r="T664" s="29" t="s">
        <v>4108</v>
      </c>
      <c r="U664" s="24"/>
    </row>
    <row r="665">
      <c r="A665" s="30">
        <v>7.290014791572E12</v>
      </c>
      <c r="B665" s="20" t="s">
        <v>4162</v>
      </c>
      <c r="C665" s="21">
        <v>0.065</v>
      </c>
      <c r="D665" s="21">
        <v>0.221</v>
      </c>
      <c r="E665" s="21">
        <v>0.065</v>
      </c>
      <c r="F665" s="22">
        <v>5.0</v>
      </c>
      <c r="G665" s="23"/>
      <c r="H665" s="24" t="s">
        <v>4107</v>
      </c>
      <c r="I665" s="21" t="s">
        <v>4108</v>
      </c>
      <c r="J665" s="24" t="s">
        <v>4163</v>
      </c>
      <c r="K665" s="21" t="s">
        <v>4164</v>
      </c>
      <c r="L665" s="25" t="s">
        <v>4165</v>
      </c>
      <c r="M665" s="26" t="s">
        <v>28</v>
      </c>
      <c r="N665" s="24" t="s">
        <v>1351</v>
      </c>
      <c r="O665" s="24" t="s">
        <v>1359</v>
      </c>
      <c r="P665" s="27"/>
      <c r="Q665" s="27"/>
      <c r="R665" s="28" t="s">
        <v>4166</v>
      </c>
      <c r="S665" s="8" t="s">
        <v>4167</v>
      </c>
      <c r="T665" s="29" t="s">
        <v>4108</v>
      </c>
      <c r="U665" s="24"/>
    </row>
    <row r="666">
      <c r="A666" s="30">
        <v>7.290016006377E12</v>
      </c>
      <c r="B666" s="20" t="s">
        <v>4156</v>
      </c>
      <c r="C666" s="21">
        <v>0.065</v>
      </c>
      <c r="D666" s="21">
        <v>0.221</v>
      </c>
      <c r="E666" s="21">
        <v>0.065</v>
      </c>
      <c r="F666" s="22">
        <v>5.0</v>
      </c>
      <c r="G666" s="23"/>
      <c r="H666" s="24" t="s">
        <v>4107</v>
      </c>
      <c r="I666" s="21" t="s">
        <v>4108</v>
      </c>
      <c r="J666" s="24" t="s">
        <v>4157</v>
      </c>
      <c r="K666" s="21" t="s">
        <v>4158</v>
      </c>
      <c r="L666" s="25" t="s">
        <v>4159</v>
      </c>
      <c r="M666" s="26" t="s">
        <v>28</v>
      </c>
      <c r="N666" s="24" t="s">
        <v>1351</v>
      </c>
      <c r="O666" s="24" t="s">
        <v>1359</v>
      </c>
      <c r="P666" s="27"/>
      <c r="Q666" s="27"/>
      <c r="R666" s="28" t="s">
        <v>4160</v>
      </c>
      <c r="S666" s="8" t="s">
        <v>4161</v>
      </c>
      <c r="T666" s="29" t="s">
        <v>4108</v>
      </c>
      <c r="U666" s="24"/>
    </row>
    <row r="667">
      <c r="A667" s="30">
        <v>7.290012404177E12</v>
      </c>
      <c r="B667" s="20" t="s">
        <v>4126</v>
      </c>
      <c r="C667" s="21">
        <v>0.065</v>
      </c>
      <c r="D667" s="21">
        <v>0.221</v>
      </c>
      <c r="E667" s="21">
        <v>0.065</v>
      </c>
      <c r="F667" s="22">
        <v>5.0</v>
      </c>
      <c r="G667" s="23"/>
      <c r="H667" s="24" t="s">
        <v>4107</v>
      </c>
      <c r="I667" s="21" t="s">
        <v>4108</v>
      </c>
      <c r="J667" s="24" t="s">
        <v>4127</v>
      </c>
      <c r="K667" s="21" t="s">
        <v>4128</v>
      </c>
      <c r="L667" s="25" t="s">
        <v>4129</v>
      </c>
      <c r="M667" s="26" t="s">
        <v>28</v>
      </c>
      <c r="N667" s="24" t="s">
        <v>1351</v>
      </c>
      <c r="O667" s="24" t="s">
        <v>1359</v>
      </c>
      <c r="P667" s="27"/>
      <c r="Q667" s="27"/>
      <c r="R667" s="28" t="s">
        <v>4130</v>
      </c>
      <c r="S667" s="8" t="s">
        <v>4131</v>
      </c>
      <c r="T667" s="29" t="s">
        <v>4108</v>
      </c>
      <c r="U667" s="24"/>
    </row>
    <row r="668">
      <c r="A668" s="30">
        <v>7.29001788888E12</v>
      </c>
      <c r="B668" s="20" t="s">
        <v>4174</v>
      </c>
      <c r="C668" s="21">
        <v>0.058</v>
      </c>
      <c r="D668" s="21">
        <v>0.145</v>
      </c>
      <c r="E668" s="21">
        <v>0.058</v>
      </c>
      <c r="F668" s="22">
        <v>5.0</v>
      </c>
      <c r="G668" s="23"/>
      <c r="H668" s="24" t="s">
        <v>4107</v>
      </c>
      <c r="I668" s="21" t="s">
        <v>4108</v>
      </c>
      <c r="J668" s="24" t="s">
        <v>4175</v>
      </c>
      <c r="K668" s="21" t="s">
        <v>4176</v>
      </c>
      <c r="L668" s="25" t="s">
        <v>4177</v>
      </c>
      <c r="M668" s="26" t="s">
        <v>28</v>
      </c>
      <c r="N668" s="24" t="s">
        <v>1351</v>
      </c>
      <c r="O668" s="24" t="s">
        <v>1359</v>
      </c>
      <c r="P668" s="27"/>
      <c r="Q668" s="27"/>
      <c r="R668" s="28" t="s">
        <v>4178</v>
      </c>
      <c r="S668" s="8" t="s">
        <v>4179</v>
      </c>
      <c r="T668" s="29" t="s">
        <v>4108</v>
      </c>
      <c r="U668" s="24"/>
    </row>
    <row r="669">
      <c r="A669" s="30">
        <v>7.290017888859E12</v>
      </c>
      <c r="B669" s="20" t="s">
        <v>4249</v>
      </c>
      <c r="C669" s="21">
        <v>0.058</v>
      </c>
      <c r="D669" s="21">
        <v>0.145</v>
      </c>
      <c r="E669" s="21">
        <v>0.058</v>
      </c>
      <c r="F669" s="22">
        <v>5.0</v>
      </c>
      <c r="G669" s="23"/>
      <c r="H669" s="24" t="s">
        <v>4107</v>
      </c>
      <c r="I669" s="21" t="s">
        <v>4108</v>
      </c>
      <c r="J669" s="24" t="s">
        <v>4250</v>
      </c>
      <c r="K669" s="21" t="s">
        <v>4251</v>
      </c>
      <c r="L669" s="25" t="s">
        <v>4252</v>
      </c>
      <c r="M669" s="26" t="s">
        <v>28</v>
      </c>
      <c r="N669" s="24" t="s">
        <v>1351</v>
      </c>
      <c r="O669" s="24" t="s">
        <v>1359</v>
      </c>
      <c r="P669" s="27"/>
      <c r="Q669" s="27"/>
      <c r="R669" s="28" t="s">
        <v>4253</v>
      </c>
      <c r="S669" s="8" t="s">
        <v>4254</v>
      </c>
      <c r="T669" s="29" t="s">
        <v>4108</v>
      </c>
      <c r="U669" s="24"/>
    </row>
    <row r="670">
      <c r="A670" s="30">
        <v>7.29001370247E12</v>
      </c>
      <c r="B670" s="20" t="s">
        <v>4168</v>
      </c>
      <c r="C670" s="21">
        <v>0.09</v>
      </c>
      <c r="D670" s="21">
        <v>0.331</v>
      </c>
      <c r="E670" s="21">
        <v>0.09</v>
      </c>
      <c r="F670" s="22">
        <v>3.0</v>
      </c>
      <c r="G670" s="23"/>
      <c r="H670" s="24" t="s">
        <v>4107</v>
      </c>
      <c r="I670" s="21" t="s">
        <v>4108</v>
      </c>
      <c r="J670" s="24" t="s">
        <v>4169</v>
      </c>
      <c r="K670" s="21" t="s">
        <v>4170</v>
      </c>
      <c r="L670" s="25" t="s">
        <v>4171</v>
      </c>
      <c r="M670" s="26" t="s">
        <v>28</v>
      </c>
      <c r="N670" s="24" t="s">
        <v>1351</v>
      </c>
      <c r="O670" s="24" t="s">
        <v>1352</v>
      </c>
      <c r="P670" s="27"/>
      <c r="Q670" s="27"/>
      <c r="R670" s="28" t="s">
        <v>4172</v>
      </c>
      <c r="S670" s="8" t="s">
        <v>4173</v>
      </c>
      <c r="T670" s="29" t="s">
        <v>4108</v>
      </c>
      <c r="U670" s="24"/>
    </row>
    <row r="671">
      <c r="A671" s="30">
        <v>7.290013702463E12</v>
      </c>
      <c r="B671" s="20" t="s">
        <v>4146</v>
      </c>
      <c r="C671" s="21">
        <v>0.09</v>
      </c>
      <c r="D671" s="21">
        <v>0.331</v>
      </c>
      <c r="E671" s="21">
        <v>0.09</v>
      </c>
      <c r="F671" s="22">
        <v>3.0</v>
      </c>
      <c r="G671" s="23"/>
      <c r="H671" s="24" t="s">
        <v>4107</v>
      </c>
      <c r="I671" s="21" t="s">
        <v>4108</v>
      </c>
      <c r="J671" s="24" t="s">
        <v>4147</v>
      </c>
      <c r="K671" s="21" t="s">
        <v>4148</v>
      </c>
      <c r="L671" s="25" t="s">
        <v>4149</v>
      </c>
      <c r="M671" s="26" t="s">
        <v>28</v>
      </c>
      <c r="N671" s="24" t="s">
        <v>1351</v>
      </c>
      <c r="O671" s="24" t="s">
        <v>1352</v>
      </c>
      <c r="P671" s="27"/>
      <c r="Q671" s="27"/>
      <c r="R671" s="28" t="s">
        <v>4150</v>
      </c>
      <c r="S671" s="8" t="s">
        <v>4151</v>
      </c>
      <c r="T671" s="29" t="s">
        <v>4108</v>
      </c>
      <c r="U671" s="24"/>
    </row>
    <row r="672">
      <c r="A672" s="30">
        <v>7.290012404146E12</v>
      </c>
      <c r="B672" s="20" t="s">
        <v>4120</v>
      </c>
      <c r="C672" s="21">
        <v>0.09</v>
      </c>
      <c r="D672" s="21">
        <v>0.331</v>
      </c>
      <c r="E672" s="21">
        <v>0.09</v>
      </c>
      <c r="F672" s="22">
        <v>3.0</v>
      </c>
      <c r="G672" s="23"/>
      <c r="H672" s="24" t="s">
        <v>4107</v>
      </c>
      <c r="I672" s="21" t="s">
        <v>4108</v>
      </c>
      <c r="J672" s="24" t="s">
        <v>4121</v>
      </c>
      <c r="K672" s="21" t="s">
        <v>4122</v>
      </c>
      <c r="L672" s="25" t="s">
        <v>4123</v>
      </c>
      <c r="M672" s="26" t="s">
        <v>28</v>
      </c>
      <c r="N672" s="24" t="s">
        <v>1351</v>
      </c>
      <c r="O672" s="24" t="s">
        <v>1352</v>
      </c>
      <c r="P672" s="27"/>
      <c r="Q672" s="27"/>
      <c r="R672" s="28" t="s">
        <v>4124</v>
      </c>
      <c r="S672" s="8" t="s">
        <v>4125</v>
      </c>
      <c r="T672" s="29" t="s">
        <v>4108</v>
      </c>
      <c r="U672" s="24"/>
    </row>
    <row r="673">
      <c r="A673" s="30">
        <v>7.290000170053E12</v>
      </c>
      <c r="B673" s="20" t="s">
        <v>670</v>
      </c>
      <c r="C673" s="21">
        <v>0.16</v>
      </c>
      <c r="D673" s="21">
        <v>0.079</v>
      </c>
      <c r="E673" s="21">
        <v>0.02</v>
      </c>
      <c r="F673" s="22">
        <v>15.0</v>
      </c>
      <c r="G673" s="23"/>
      <c r="H673" s="24" t="s">
        <v>620</v>
      </c>
      <c r="I673" s="21" t="s">
        <v>621</v>
      </c>
      <c r="J673" s="24" t="s">
        <v>671</v>
      </c>
      <c r="K673" s="21" t="s">
        <v>672</v>
      </c>
      <c r="L673" s="25" t="s">
        <v>673</v>
      </c>
      <c r="M673" s="26" t="s">
        <v>37</v>
      </c>
      <c r="N673" s="24" t="s">
        <v>626</v>
      </c>
      <c r="O673" s="24" t="s">
        <v>627</v>
      </c>
      <c r="P673" s="27"/>
      <c r="Q673" s="27"/>
      <c r="R673" s="28" t="s">
        <v>674</v>
      </c>
      <c r="S673" s="8" t="s">
        <v>675</v>
      </c>
      <c r="T673" s="29" t="e">
        <v>#N/A</v>
      </c>
      <c r="U673" s="24"/>
    </row>
    <row r="674">
      <c r="A674" s="30">
        <v>7.29011235121E12</v>
      </c>
      <c r="B674" s="20" t="s">
        <v>658</v>
      </c>
      <c r="C674" s="21">
        <v>0.16</v>
      </c>
      <c r="D674" s="21">
        <v>0.079</v>
      </c>
      <c r="E674" s="21">
        <v>0.01</v>
      </c>
      <c r="F674" s="22">
        <v>30.0</v>
      </c>
      <c r="G674" s="23"/>
      <c r="H674" s="24" t="s">
        <v>620</v>
      </c>
      <c r="I674" s="21" t="s">
        <v>621</v>
      </c>
      <c r="J674" s="24" t="s">
        <v>659</v>
      </c>
      <c r="K674" s="21" t="s">
        <v>660</v>
      </c>
      <c r="L674" s="25" t="s">
        <v>661</v>
      </c>
      <c r="M674" s="26" t="s">
        <v>28</v>
      </c>
      <c r="N674" s="24" t="s">
        <v>626</v>
      </c>
      <c r="O674" s="24" t="s">
        <v>627</v>
      </c>
      <c r="P674" s="27"/>
      <c r="Q674" s="27"/>
      <c r="R674" s="28" t="s">
        <v>662</v>
      </c>
      <c r="S674" s="8" t="s">
        <v>663</v>
      </c>
      <c r="T674" s="29" t="s">
        <v>636</v>
      </c>
      <c r="U674" s="24"/>
    </row>
    <row r="675">
      <c r="A675" s="30">
        <v>7.290112351197E12</v>
      </c>
      <c r="B675" s="20" t="s">
        <v>630</v>
      </c>
      <c r="C675" s="21">
        <v>0.16</v>
      </c>
      <c r="D675" s="21">
        <v>0.079</v>
      </c>
      <c r="E675" s="21">
        <v>0.01</v>
      </c>
      <c r="F675" s="22">
        <v>30.0</v>
      </c>
      <c r="G675" s="23"/>
      <c r="H675" s="24" t="s">
        <v>620</v>
      </c>
      <c r="I675" s="21" t="s">
        <v>621</v>
      </c>
      <c r="J675" s="24" t="s">
        <v>631</v>
      </c>
      <c r="K675" s="21" t="s">
        <v>632</v>
      </c>
      <c r="L675" s="25" t="s">
        <v>633</v>
      </c>
      <c r="M675" s="26" t="s">
        <v>28</v>
      </c>
      <c r="N675" s="24" t="s">
        <v>626</v>
      </c>
      <c r="O675" s="24" t="s">
        <v>627</v>
      </c>
      <c r="P675" s="27"/>
      <c r="Q675" s="27"/>
      <c r="R675" s="28" t="s">
        <v>634</v>
      </c>
      <c r="S675" s="8" t="s">
        <v>635</v>
      </c>
      <c r="T675" s="29" t="s">
        <v>636</v>
      </c>
      <c r="U675" s="24"/>
    </row>
    <row r="676">
      <c r="A676" s="30">
        <v>7.290000170077E12</v>
      </c>
      <c r="B676" s="20" t="s">
        <v>619</v>
      </c>
      <c r="C676" s="21">
        <v>0.16</v>
      </c>
      <c r="D676" s="21">
        <v>0.079</v>
      </c>
      <c r="E676" s="21">
        <v>0.02</v>
      </c>
      <c r="F676" s="22">
        <v>15.0</v>
      </c>
      <c r="G676" s="23"/>
      <c r="H676" s="24" t="s">
        <v>620</v>
      </c>
      <c r="I676" s="21" t="s">
        <v>621</v>
      </c>
      <c r="J676" s="24" t="s">
        <v>623</v>
      </c>
      <c r="K676" s="21" t="s">
        <v>624</v>
      </c>
      <c r="L676" s="25" t="s">
        <v>625</v>
      </c>
      <c r="M676" s="26" t="s">
        <v>37</v>
      </c>
      <c r="N676" s="24" t="s">
        <v>626</v>
      </c>
      <c r="O676" s="24" t="s">
        <v>627</v>
      </c>
      <c r="P676" s="27"/>
      <c r="Q676" s="27"/>
      <c r="R676" s="28" t="s">
        <v>628</v>
      </c>
      <c r="S676" s="8" t="s">
        <v>629</v>
      </c>
      <c r="T676" s="29" t="e">
        <v>#N/A</v>
      </c>
      <c r="U676" s="24"/>
    </row>
    <row r="677">
      <c r="A677" s="30">
        <v>7.290005200908E12</v>
      </c>
      <c r="B677" s="20" t="s">
        <v>664</v>
      </c>
      <c r="C677" s="21">
        <v>0.135</v>
      </c>
      <c r="D677" s="21">
        <v>0.135</v>
      </c>
      <c r="E677" s="21">
        <v>0.015</v>
      </c>
      <c r="F677" s="22">
        <v>20.0</v>
      </c>
      <c r="G677" s="23"/>
      <c r="H677" s="24" t="s">
        <v>620</v>
      </c>
      <c r="I677" s="21" t="s">
        <v>621</v>
      </c>
      <c r="J677" s="24" t="s">
        <v>665</v>
      </c>
      <c r="K677" s="21" t="s">
        <v>666</v>
      </c>
      <c r="L677" s="25" t="s">
        <v>667</v>
      </c>
      <c r="M677" s="26" t="s">
        <v>37</v>
      </c>
      <c r="N677" s="24" t="s">
        <v>626</v>
      </c>
      <c r="O677" s="24" t="s">
        <v>649</v>
      </c>
      <c r="P677" s="27"/>
      <c r="Q677" s="27"/>
      <c r="R677" s="28" t="s">
        <v>668</v>
      </c>
      <c r="S677" s="8" t="s">
        <v>669</v>
      </c>
      <c r="T677" s="29" t="e">
        <v>#N/A</v>
      </c>
      <c r="U677" s="24"/>
    </row>
    <row r="678">
      <c r="A678" s="30">
        <v>7.290008747431E12</v>
      </c>
      <c r="B678" s="20" t="s">
        <v>645</v>
      </c>
      <c r="C678" s="21">
        <v>0.04</v>
      </c>
      <c r="D678" s="21">
        <v>0.15</v>
      </c>
      <c r="E678" s="21">
        <v>0.02</v>
      </c>
      <c r="F678" s="22">
        <v>15.0</v>
      </c>
      <c r="G678" s="23"/>
      <c r="H678" s="24" t="s">
        <v>620</v>
      </c>
      <c r="I678" s="21" t="s">
        <v>621</v>
      </c>
      <c r="J678" s="24" t="s">
        <v>646</v>
      </c>
      <c r="K678" s="21" t="s">
        <v>647</v>
      </c>
      <c r="L678" s="25" t="s">
        <v>648</v>
      </c>
      <c r="M678" s="26" t="s">
        <v>37</v>
      </c>
      <c r="N678" s="24" t="s">
        <v>626</v>
      </c>
      <c r="O678" s="24" t="s">
        <v>649</v>
      </c>
      <c r="P678" s="27"/>
      <c r="Q678" s="27"/>
      <c r="R678" s="28" t="s">
        <v>650</v>
      </c>
      <c r="S678" s="8" t="s">
        <v>651</v>
      </c>
      <c r="T678" s="29" t="e">
        <v>#N/A</v>
      </c>
      <c r="U678" s="24"/>
    </row>
    <row r="679">
      <c r="A679" s="30">
        <v>7.290008747424E12</v>
      </c>
      <c r="B679" s="20" t="s">
        <v>652</v>
      </c>
      <c r="C679" s="21">
        <v>0.16</v>
      </c>
      <c r="D679" s="21">
        <v>0.079</v>
      </c>
      <c r="E679" s="21">
        <v>0.02</v>
      </c>
      <c r="F679" s="22">
        <v>15.0</v>
      </c>
      <c r="G679" s="23"/>
      <c r="H679" s="24" t="s">
        <v>620</v>
      </c>
      <c r="I679" s="21" t="s">
        <v>621</v>
      </c>
      <c r="J679" s="24" t="s">
        <v>653</v>
      </c>
      <c r="K679" s="21" t="s">
        <v>654</v>
      </c>
      <c r="L679" s="25" t="s">
        <v>655</v>
      </c>
      <c r="M679" s="26" t="s">
        <v>37</v>
      </c>
      <c r="N679" s="24" t="s">
        <v>626</v>
      </c>
      <c r="O679" s="24" t="s">
        <v>649</v>
      </c>
      <c r="P679" s="27"/>
      <c r="Q679" s="27"/>
      <c r="R679" s="28" t="s">
        <v>656</v>
      </c>
      <c r="S679" s="8" t="s">
        <v>657</v>
      </c>
      <c r="T679" s="29" t="e">
        <v>#N/A</v>
      </c>
      <c r="U679" s="24"/>
    </row>
    <row r="680">
      <c r="A680" s="30">
        <v>7.290112351098E12</v>
      </c>
      <c r="B680" s="20" t="s">
        <v>676</v>
      </c>
      <c r="C680" s="21">
        <v>0.16</v>
      </c>
      <c r="D680" s="21">
        <v>0.08</v>
      </c>
      <c r="E680" s="21">
        <v>0.01</v>
      </c>
      <c r="F680" s="22">
        <v>30.0</v>
      </c>
      <c r="G680" s="23"/>
      <c r="H680" s="24" t="s">
        <v>620</v>
      </c>
      <c r="I680" s="21" t="s">
        <v>621</v>
      </c>
      <c r="J680" s="24" t="s">
        <v>677</v>
      </c>
      <c r="K680" s="21" t="s">
        <v>678</v>
      </c>
      <c r="L680" s="25" t="s">
        <v>679</v>
      </c>
      <c r="M680" s="26" t="s">
        <v>28</v>
      </c>
      <c r="N680" s="24" t="s">
        <v>626</v>
      </c>
      <c r="O680" s="24" t="s">
        <v>649</v>
      </c>
      <c r="P680" s="27"/>
      <c r="Q680" s="27"/>
      <c r="R680" s="28" t="s">
        <v>680</v>
      </c>
      <c r="S680" s="8" t="s">
        <v>681</v>
      </c>
      <c r="T680" s="29" t="s">
        <v>636</v>
      </c>
      <c r="U680" s="24"/>
    </row>
    <row r="681">
      <c r="A681" s="30">
        <v>7.2900087504E12</v>
      </c>
      <c r="B681" s="20" t="s">
        <v>688</v>
      </c>
      <c r="C681" s="21">
        <v>0.16</v>
      </c>
      <c r="D681" s="21">
        <v>0.079</v>
      </c>
      <c r="E681" s="21">
        <v>0.02</v>
      </c>
      <c r="F681" s="22">
        <v>15.0</v>
      </c>
      <c r="G681" s="23"/>
      <c r="H681" s="24" t="s">
        <v>620</v>
      </c>
      <c r="I681" s="21" t="s">
        <v>621</v>
      </c>
      <c r="J681" s="24" t="s">
        <v>689</v>
      </c>
      <c r="K681" s="21" t="s">
        <v>690</v>
      </c>
      <c r="L681" s="25" t="s">
        <v>5265</v>
      </c>
      <c r="M681" s="26" t="s">
        <v>37</v>
      </c>
      <c r="N681" s="24" t="s">
        <v>626</v>
      </c>
      <c r="O681" s="24" t="s">
        <v>649</v>
      </c>
      <c r="P681" s="27"/>
      <c r="Q681" s="27"/>
      <c r="R681" s="28" t="s">
        <v>692</v>
      </c>
      <c r="S681" s="8" t="s">
        <v>693</v>
      </c>
      <c r="T681" s="29" t="e">
        <v>#N/A</v>
      </c>
      <c r="U681" s="24"/>
    </row>
    <row r="682">
      <c r="A682" s="30">
        <v>7.290107951623E12</v>
      </c>
      <c r="B682" s="20" t="s">
        <v>637</v>
      </c>
      <c r="C682" s="21">
        <v>0.16</v>
      </c>
      <c r="D682" s="21">
        <v>0.079</v>
      </c>
      <c r="E682" s="21">
        <v>0.02</v>
      </c>
      <c r="F682" s="22">
        <v>15.0</v>
      </c>
      <c r="G682" s="23"/>
      <c r="H682" s="24" t="s">
        <v>620</v>
      </c>
      <c r="I682" s="21" t="s">
        <v>621</v>
      </c>
      <c r="J682" s="24" t="s">
        <v>638</v>
      </c>
      <c r="K682" s="21" t="s">
        <v>639</v>
      </c>
      <c r="L682" s="25" t="s">
        <v>640</v>
      </c>
      <c r="M682" s="26" t="s">
        <v>28</v>
      </c>
      <c r="N682" s="24" t="s">
        <v>641</v>
      </c>
      <c r="O682" s="24" t="s">
        <v>642</v>
      </c>
      <c r="P682" s="27"/>
      <c r="Q682" s="27"/>
      <c r="R682" s="28" t="s">
        <v>643</v>
      </c>
      <c r="S682" s="8" t="s">
        <v>644</v>
      </c>
      <c r="T682" s="29" t="s">
        <v>636</v>
      </c>
      <c r="U682" s="24"/>
    </row>
    <row r="683">
      <c r="A683" s="30">
        <v>7.290112348548E12</v>
      </c>
      <c r="B683" s="20" t="s">
        <v>682</v>
      </c>
      <c r="C683" s="21">
        <v>0.16</v>
      </c>
      <c r="D683" s="21">
        <v>0.079</v>
      </c>
      <c r="E683" s="21">
        <v>0.02</v>
      </c>
      <c r="F683" s="22">
        <v>15.0</v>
      </c>
      <c r="G683" s="23"/>
      <c r="H683" s="24" t="s">
        <v>620</v>
      </c>
      <c r="I683" s="21" t="s">
        <v>621</v>
      </c>
      <c r="J683" s="24" t="s">
        <v>683</v>
      </c>
      <c r="K683" s="21" t="s">
        <v>684</v>
      </c>
      <c r="L683" s="25" t="s">
        <v>685</v>
      </c>
      <c r="M683" s="26" t="s">
        <v>28</v>
      </c>
      <c r="N683" s="24" t="s">
        <v>641</v>
      </c>
      <c r="O683" s="24" t="s">
        <v>642</v>
      </c>
      <c r="P683" s="27"/>
      <c r="Q683" s="27"/>
      <c r="R683" s="28" t="s">
        <v>686</v>
      </c>
      <c r="S683" s="8" t="s">
        <v>687</v>
      </c>
      <c r="T683" s="29" t="s">
        <v>636</v>
      </c>
      <c r="U683" s="24"/>
    </row>
    <row r="684">
      <c r="A684" s="30">
        <v>7.290106664067E12</v>
      </c>
      <c r="B684" s="20" t="s">
        <v>2305</v>
      </c>
      <c r="C684" s="21">
        <v>0.11</v>
      </c>
      <c r="D684" s="21">
        <v>0.09999999</v>
      </c>
      <c r="E684" s="21">
        <v>0.075</v>
      </c>
      <c r="F684" s="22">
        <v>4.0</v>
      </c>
      <c r="G684" s="23"/>
      <c r="H684" s="24" t="s">
        <v>2306</v>
      </c>
      <c r="I684" s="21" t="s">
        <v>2307</v>
      </c>
      <c r="J684" s="24" t="s">
        <v>2308</v>
      </c>
      <c r="K684" s="21" t="s">
        <v>2309</v>
      </c>
      <c r="L684" s="25" t="s">
        <v>2310</v>
      </c>
      <c r="M684" s="26" t="s">
        <v>28</v>
      </c>
      <c r="N684" s="24" t="s">
        <v>2311</v>
      </c>
      <c r="O684" s="24" t="s">
        <v>2312</v>
      </c>
      <c r="P684" s="27"/>
      <c r="Q684" s="27"/>
      <c r="R684" s="28" t="s">
        <v>2313</v>
      </c>
      <c r="S684" s="8" t="s">
        <v>2314</v>
      </c>
      <c r="T684" s="29" t="s">
        <v>2315</v>
      </c>
      <c r="U684" s="24"/>
    </row>
    <row r="685">
      <c r="A685" s="30">
        <v>7.290014760141E12</v>
      </c>
      <c r="B685" s="20" t="s">
        <v>56</v>
      </c>
      <c r="C685" s="21">
        <v>0.075</v>
      </c>
      <c r="D685" s="21">
        <v>0.232</v>
      </c>
      <c r="E685" s="21">
        <v>0.07</v>
      </c>
      <c r="F685" s="22">
        <v>4.0</v>
      </c>
      <c r="G685" s="23"/>
      <c r="H685" s="32" t="s">
        <v>57</v>
      </c>
      <c r="I685" s="21" t="s">
        <v>58</v>
      </c>
      <c r="J685" s="24" t="s">
        <v>59</v>
      </c>
      <c r="K685" s="21" t="s">
        <v>60</v>
      </c>
      <c r="L685" s="25" t="s">
        <v>61</v>
      </c>
      <c r="M685" s="26" t="s">
        <v>28</v>
      </c>
      <c r="N685" s="24" t="s">
        <v>62</v>
      </c>
      <c r="O685" s="24" t="s">
        <v>63</v>
      </c>
      <c r="P685" s="27"/>
      <c r="Q685" s="27"/>
      <c r="R685" s="28" t="s">
        <v>64</v>
      </c>
      <c r="S685" s="8" t="s">
        <v>65</v>
      </c>
      <c r="T685" s="29" t="s">
        <v>58</v>
      </c>
      <c r="U685" s="24"/>
    </row>
    <row r="686">
      <c r="A686" s="30">
        <v>4125585.0</v>
      </c>
      <c r="B686" s="20" t="s">
        <v>81</v>
      </c>
      <c r="C686" s="21">
        <v>0.08</v>
      </c>
      <c r="D686" s="21">
        <v>0.23</v>
      </c>
      <c r="E686" s="21">
        <v>0.07</v>
      </c>
      <c r="F686" s="22">
        <v>4.0</v>
      </c>
      <c r="G686" s="23"/>
      <c r="H686" s="32" t="s">
        <v>57</v>
      </c>
      <c r="I686" s="21" t="s">
        <v>67</v>
      </c>
      <c r="J686" s="24" t="s">
        <v>82</v>
      </c>
      <c r="K686" s="21" t="s">
        <v>83</v>
      </c>
      <c r="L686" s="25" t="s">
        <v>84</v>
      </c>
      <c r="M686" s="26" t="s">
        <v>28</v>
      </c>
      <c r="N686" s="24" t="s">
        <v>71</v>
      </c>
      <c r="O686" s="24" t="s">
        <v>85</v>
      </c>
      <c r="P686" s="27"/>
      <c r="Q686" s="27"/>
      <c r="R686" s="28" t="s">
        <v>86</v>
      </c>
      <c r="S686" s="8" t="s">
        <v>87</v>
      </c>
      <c r="T686" s="29" t="s">
        <v>67</v>
      </c>
      <c r="U686" s="24"/>
    </row>
    <row r="687">
      <c r="A687" s="30">
        <v>4125578.0</v>
      </c>
      <c r="B687" s="20" t="s">
        <v>66</v>
      </c>
      <c r="C687" s="21">
        <v>0.08</v>
      </c>
      <c r="D687" s="21">
        <v>0.23</v>
      </c>
      <c r="E687" s="21">
        <v>0.07</v>
      </c>
      <c r="F687" s="22">
        <v>4.0</v>
      </c>
      <c r="G687" s="23"/>
      <c r="H687" s="32" t="s">
        <v>57</v>
      </c>
      <c r="I687" s="21" t="s">
        <v>67</v>
      </c>
      <c r="J687" s="24" t="s">
        <v>68</v>
      </c>
      <c r="K687" s="21" t="s">
        <v>69</v>
      </c>
      <c r="L687" s="25" t="s">
        <v>70</v>
      </c>
      <c r="M687" s="26" t="s">
        <v>28</v>
      </c>
      <c r="N687" s="24" t="s">
        <v>71</v>
      </c>
      <c r="O687" s="24" t="s">
        <v>72</v>
      </c>
      <c r="P687" s="27"/>
      <c r="Q687" s="27"/>
      <c r="R687" s="28" t="s">
        <v>73</v>
      </c>
      <c r="S687" s="8" t="s">
        <v>74</v>
      </c>
      <c r="T687" s="29" t="s">
        <v>67</v>
      </c>
      <c r="U687" s="24"/>
    </row>
    <row r="688">
      <c r="A688" s="30">
        <v>7.290110325619E12</v>
      </c>
      <c r="B688" s="20" t="s">
        <v>75</v>
      </c>
      <c r="C688" s="21">
        <v>0.08</v>
      </c>
      <c r="D688" s="21">
        <v>0.23</v>
      </c>
      <c r="E688" s="21">
        <v>0.08</v>
      </c>
      <c r="F688" s="22">
        <v>4.0</v>
      </c>
      <c r="G688" s="23"/>
      <c r="H688" s="32" t="s">
        <v>57</v>
      </c>
      <c r="I688" s="21" t="s">
        <v>67</v>
      </c>
      <c r="J688" s="24" t="s">
        <v>76</v>
      </c>
      <c r="K688" s="21" t="s">
        <v>77</v>
      </c>
      <c r="L688" s="25" t="s">
        <v>78</v>
      </c>
      <c r="M688" s="26" t="s">
        <v>28</v>
      </c>
      <c r="N688" s="24" t="s">
        <v>62</v>
      </c>
      <c r="O688" s="24" t="s">
        <v>63</v>
      </c>
      <c r="P688" s="27"/>
      <c r="Q688" s="27"/>
      <c r="R688" s="28" t="s">
        <v>79</v>
      </c>
      <c r="S688" s="8" t="s">
        <v>80</v>
      </c>
      <c r="T688" s="29" t="s">
        <v>67</v>
      </c>
      <c r="U688" s="24"/>
    </row>
    <row r="689">
      <c r="A689" s="30">
        <v>7.290014763289E12</v>
      </c>
      <c r="B689" s="20" t="s">
        <v>88</v>
      </c>
      <c r="C689" s="21">
        <v>0.06</v>
      </c>
      <c r="D689" s="21">
        <v>0.16</v>
      </c>
      <c r="E689" s="21">
        <v>0.075</v>
      </c>
      <c r="F689" s="22">
        <v>4.0</v>
      </c>
      <c r="G689" s="23"/>
      <c r="H689" s="32" t="s">
        <v>57</v>
      </c>
      <c r="I689" s="21" t="s">
        <v>89</v>
      </c>
      <c r="J689" s="24" t="s">
        <v>90</v>
      </c>
      <c r="K689" s="21" t="s">
        <v>91</v>
      </c>
      <c r="L689" s="25" t="s">
        <v>92</v>
      </c>
      <c r="M689" s="26" t="s">
        <v>28</v>
      </c>
      <c r="N689" s="24" t="s">
        <v>93</v>
      </c>
      <c r="O689" s="24" t="s">
        <v>94</v>
      </c>
      <c r="P689" s="27"/>
      <c r="Q689" s="27"/>
      <c r="R689" s="28" t="s">
        <v>95</v>
      </c>
      <c r="S689" s="8" t="s">
        <v>96</v>
      </c>
      <c r="T689" s="29" t="s">
        <v>89</v>
      </c>
      <c r="U689" s="24"/>
    </row>
    <row r="690">
      <c r="A690" s="30">
        <v>7.290014763272E12</v>
      </c>
      <c r="B690" s="20" t="s">
        <v>97</v>
      </c>
      <c r="C690" s="21">
        <v>0.06</v>
      </c>
      <c r="D690" s="21">
        <v>0.16</v>
      </c>
      <c r="E690" s="21">
        <v>0.075</v>
      </c>
      <c r="F690" s="22">
        <v>4.0</v>
      </c>
      <c r="G690" s="23"/>
      <c r="H690" s="32" t="s">
        <v>57</v>
      </c>
      <c r="I690" s="21" t="s">
        <v>89</v>
      </c>
      <c r="J690" s="24" t="s">
        <v>98</v>
      </c>
      <c r="K690" s="21" t="s">
        <v>99</v>
      </c>
      <c r="L690" s="25" t="s">
        <v>100</v>
      </c>
      <c r="M690" s="26" t="s">
        <v>28</v>
      </c>
      <c r="N690" s="24" t="s">
        <v>93</v>
      </c>
      <c r="O690" s="24" t="s">
        <v>94</v>
      </c>
      <c r="P690" s="27"/>
      <c r="Q690" s="27"/>
      <c r="R690" s="28" t="s">
        <v>101</v>
      </c>
      <c r="S690" s="8" t="s">
        <v>102</v>
      </c>
      <c r="T690" s="29" t="s">
        <v>89</v>
      </c>
      <c r="U690" s="24"/>
    </row>
    <row r="691">
      <c r="A691" s="30">
        <v>7.2963104E7</v>
      </c>
      <c r="B691" s="20" t="s">
        <v>547</v>
      </c>
      <c r="C691" s="21">
        <v>0.09</v>
      </c>
      <c r="D691" s="21">
        <v>0.053</v>
      </c>
      <c r="E691" s="21">
        <v>0.02</v>
      </c>
      <c r="F691" s="22">
        <v>15.0</v>
      </c>
      <c r="G691" s="23"/>
      <c r="H691" s="32" t="s">
        <v>57</v>
      </c>
      <c r="I691" s="21" t="s">
        <v>548</v>
      </c>
      <c r="J691" s="24" t="s">
        <v>549</v>
      </c>
      <c r="K691" s="21" t="s">
        <v>550</v>
      </c>
      <c r="L691" s="25" t="s">
        <v>551</v>
      </c>
      <c r="M691" s="26" t="s">
        <v>28</v>
      </c>
      <c r="N691" s="24" t="s">
        <v>552</v>
      </c>
      <c r="O691" s="24" t="s">
        <v>553</v>
      </c>
      <c r="P691" s="27"/>
      <c r="Q691" s="27"/>
      <c r="R691" s="28" t="s">
        <v>554</v>
      </c>
      <c r="S691" s="8" t="s">
        <v>555</v>
      </c>
      <c r="T691" s="29" t="s">
        <v>548</v>
      </c>
      <c r="U691" s="24"/>
    </row>
    <row r="692">
      <c r="A692" s="30">
        <v>4131531.0</v>
      </c>
      <c r="B692" s="20" t="s">
        <v>704</v>
      </c>
      <c r="C692" s="21">
        <v>0.08</v>
      </c>
      <c r="D692" s="21">
        <v>0.26</v>
      </c>
      <c r="E692" s="21">
        <v>0.075</v>
      </c>
      <c r="F692" s="22">
        <v>4.0</v>
      </c>
      <c r="G692" s="23"/>
      <c r="H692" s="32" t="s">
        <v>57</v>
      </c>
      <c r="I692" s="21" t="s">
        <v>705</v>
      </c>
      <c r="J692" s="24" t="s">
        <v>706</v>
      </c>
      <c r="K692" s="21" t="s">
        <v>707</v>
      </c>
      <c r="L692" s="25" t="s">
        <v>708</v>
      </c>
      <c r="M692" s="26" t="s">
        <v>28</v>
      </c>
      <c r="N692" s="24" t="s">
        <v>700</v>
      </c>
      <c r="O692" s="24" t="s">
        <v>709</v>
      </c>
      <c r="P692" s="27"/>
      <c r="Q692" s="27"/>
      <c r="R692" s="31" t="s">
        <v>710</v>
      </c>
      <c r="S692" s="8" t="s">
        <v>711</v>
      </c>
      <c r="T692" s="29" t="s">
        <v>705</v>
      </c>
      <c r="U692" s="24"/>
    </row>
    <row r="693">
      <c r="A693" s="30">
        <v>4132231.0</v>
      </c>
      <c r="B693" s="20" t="s">
        <v>902</v>
      </c>
      <c r="C693" s="21">
        <v>0.08</v>
      </c>
      <c r="D693" s="21">
        <v>0.232</v>
      </c>
      <c r="E693" s="21">
        <v>0.075</v>
      </c>
      <c r="F693" s="22">
        <v>4.0</v>
      </c>
      <c r="G693" s="23"/>
      <c r="H693" s="32" t="s">
        <v>57</v>
      </c>
      <c r="I693" s="21" t="s">
        <v>903</v>
      </c>
      <c r="J693" s="24" t="s">
        <v>904</v>
      </c>
      <c r="K693" s="21" t="s">
        <v>905</v>
      </c>
      <c r="L693" s="25" t="s">
        <v>906</v>
      </c>
      <c r="M693" s="26" t="s">
        <v>28</v>
      </c>
      <c r="N693" s="24" t="s">
        <v>907</v>
      </c>
      <c r="O693" s="24" t="s">
        <v>908</v>
      </c>
      <c r="P693" s="27"/>
      <c r="Q693" s="27"/>
      <c r="R693" s="28" t="s">
        <v>909</v>
      </c>
      <c r="S693" s="8" t="s">
        <v>910</v>
      </c>
      <c r="T693" s="29" t="s">
        <v>903</v>
      </c>
      <c r="U693" s="24"/>
    </row>
    <row r="694">
      <c r="A694" s="30">
        <v>4125455.0</v>
      </c>
      <c r="B694" s="20" t="s">
        <v>970</v>
      </c>
      <c r="C694" s="21">
        <v>0.07</v>
      </c>
      <c r="D694" s="21">
        <v>0.08</v>
      </c>
      <c r="E694" s="21">
        <v>0.075</v>
      </c>
      <c r="F694" s="22">
        <v>4.0</v>
      </c>
      <c r="G694" s="23"/>
      <c r="H694" s="32" t="s">
        <v>57</v>
      </c>
      <c r="I694" s="21" t="s">
        <v>971</v>
      </c>
      <c r="J694" s="24" t="s">
        <v>972</v>
      </c>
      <c r="K694" s="21" t="s">
        <v>973</v>
      </c>
      <c r="L694" s="25" t="s">
        <v>974</v>
      </c>
      <c r="M694" s="26" t="s">
        <v>28</v>
      </c>
      <c r="N694" s="24" t="s">
        <v>975</v>
      </c>
      <c r="O694" s="24" t="s">
        <v>976</v>
      </c>
      <c r="P694" s="27"/>
      <c r="Q694" s="27"/>
      <c r="R694" s="28" t="s">
        <v>977</v>
      </c>
      <c r="S694" s="8" t="s">
        <v>978</v>
      </c>
      <c r="T694" s="29" t="s">
        <v>971</v>
      </c>
      <c r="U694" s="24"/>
    </row>
    <row r="695">
      <c r="A695" s="30">
        <v>7.290110325893E12</v>
      </c>
      <c r="B695" s="20" t="s">
        <v>1704</v>
      </c>
      <c r="C695" s="21">
        <v>0.055</v>
      </c>
      <c r="D695" s="21">
        <v>0.17</v>
      </c>
      <c r="E695" s="21">
        <v>0.08</v>
      </c>
      <c r="F695" s="22">
        <v>4.0</v>
      </c>
      <c r="G695" s="23"/>
      <c r="H695" s="32" t="s">
        <v>57</v>
      </c>
      <c r="I695" s="21" t="s">
        <v>1671</v>
      </c>
      <c r="J695" s="24" t="s">
        <v>1705</v>
      </c>
      <c r="K695" s="21" t="s">
        <v>1706</v>
      </c>
      <c r="L695" s="25" t="s">
        <v>1707</v>
      </c>
      <c r="M695" s="26" t="s">
        <v>28</v>
      </c>
      <c r="N695" s="24" t="s">
        <v>700</v>
      </c>
      <c r="O695" s="24" t="s">
        <v>1078</v>
      </c>
      <c r="P695" s="27"/>
      <c r="Q695" s="27"/>
      <c r="R695" s="28" t="s">
        <v>1708</v>
      </c>
      <c r="S695" s="8" t="s">
        <v>1709</v>
      </c>
      <c r="T695" s="29" t="s">
        <v>1671</v>
      </c>
      <c r="U695" s="24"/>
    </row>
    <row r="696">
      <c r="A696" s="30">
        <v>7.290110324773E12</v>
      </c>
      <c r="B696" s="20" t="s">
        <v>1710</v>
      </c>
      <c r="C696" s="21">
        <v>0.055</v>
      </c>
      <c r="D696" s="21">
        <v>0.17</v>
      </c>
      <c r="E696" s="21">
        <v>0.08</v>
      </c>
      <c r="F696" s="22">
        <v>4.0</v>
      </c>
      <c r="G696" s="23"/>
      <c r="H696" s="32" t="s">
        <v>57</v>
      </c>
      <c r="I696" s="21" t="s">
        <v>1671</v>
      </c>
      <c r="J696" s="24" t="s">
        <v>1711</v>
      </c>
      <c r="K696" s="21" t="s">
        <v>1712</v>
      </c>
      <c r="L696" s="25" t="s">
        <v>1713</v>
      </c>
      <c r="M696" s="26" t="s">
        <v>28</v>
      </c>
      <c r="N696" s="24" t="s">
        <v>700</v>
      </c>
      <c r="O696" s="24" t="s">
        <v>1078</v>
      </c>
      <c r="P696" s="27"/>
      <c r="Q696" s="27"/>
      <c r="R696" s="28" t="s">
        <v>1714</v>
      </c>
      <c r="S696" s="8" t="s">
        <v>1715</v>
      </c>
      <c r="T696" s="29" t="s">
        <v>1671</v>
      </c>
      <c r="U696" s="24"/>
    </row>
    <row r="697">
      <c r="A697" s="30">
        <v>7.290110325886E12</v>
      </c>
      <c r="B697" s="20" t="s">
        <v>1723</v>
      </c>
      <c r="C697" s="21">
        <v>0.07</v>
      </c>
      <c r="D697" s="21">
        <v>0.15</v>
      </c>
      <c r="E697" s="21">
        <v>0.075</v>
      </c>
      <c r="F697" s="22">
        <v>4.0</v>
      </c>
      <c r="G697" s="23"/>
      <c r="H697" s="32" t="s">
        <v>57</v>
      </c>
      <c r="I697" s="21" t="s">
        <v>1717</v>
      </c>
      <c r="J697" s="24" t="s">
        <v>1724</v>
      </c>
      <c r="K697" s="21" t="s">
        <v>1725</v>
      </c>
      <c r="L697" s="25" t="s">
        <v>1726</v>
      </c>
      <c r="M697" s="26" t="s">
        <v>28</v>
      </c>
      <c r="N697" s="24" t="s">
        <v>700</v>
      </c>
      <c r="O697" s="24" t="s">
        <v>1078</v>
      </c>
      <c r="P697" s="27"/>
      <c r="Q697" s="27"/>
      <c r="R697" s="31" t="s">
        <v>1727</v>
      </c>
      <c r="S697" s="8" t="s">
        <v>1728</v>
      </c>
      <c r="T697" s="29" t="s">
        <v>1717</v>
      </c>
      <c r="U697" s="24"/>
    </row>
    <row r="698">
      <c r="A698" s="30">
        <v>42435.0</v>
      </c>
      <c r="B698" s="20" t="s">
        <v>2780</v>
      </c>
      <c r="C698" s="21">
        <v>0.075</v>
      </c>
      <c r="D698" s="21">
        <v>0.232</v>
      </c>
      <c r="E698" s="21">
        <v>0.07</v>
      </c>
      <c r="F698" s="22">
        <v>4.0</v>
      </c>
      <c r="G698" s="23"/>
      <c r="H698" s="32" t="s">
        <v>57</v>
      </c>
      <c r="I698" s="21" t="s">
        <v>2781</v>
      </c>
      <c r="J698" s="24" t="s">
        <v>2782</v>
      </c>
      <c r="K698" s="21" t="s">
        <v>2783</v>
      </c>
      <c r="L698" s="25" t="s">
        <v>2784</v>
      </c>
      <c r="M698" s="26" t="s">
        <v>28</v>
      </c>
      <c r="N698" s="24" t="s">
        <v>907</v>
      </c>
      <c r="O698" s="24" t="s">
        <v>2785</v>
      </c>
      <c r="P698" s="27"/>
      <c r="Q698" s="27"/>
      <c r="R698" s="28" t="s">
        <v>2786</v>
      </c>
      <c r="S698" s="8" t="s">
        <v>2787</v>
      </c>
      <c r="T698" s="29" t="s">
        <v>2781</v>
      </c>
      <c r="U698" s="24"/>
    </row>
    <row r="699">
      <c r="A699" s="30">
        <v>42442.0</v>
      </c>
      <c r="B699" s="20" t="s">
        <v>2795</v>
      </c>
      <c r="C699" s="21">
        <v>0.075</v>
      </c>
      <c r="D699" s="21">
        <v>0.232</v>
      </c>
      <c r="E699" s="21">
        <v>0.07</v>
      </c>
      <c r="F699" s="22">
        <v>4.0</v>
      </c>
      <c r="G699" s="23"/>
      <c r="H699" s="32" t="s">
        <v>57</v>
      </c>
      <c r="I699" s="21" t="s">
        <v>2796</v>
      </c>
      <c r="J699" s="24" t="s">
        <v>2797</v>
      </c>
      <c r="K699" s="21" t="s">
        <v>2798</v>
      </c>
      <c r="L699" s="25" t="s">
        <v>2799</v>
      </c>
      <c r="M699" s="26" t="s">
        <v>28</v>
      </c>
      <c r="N699" s="24" t="s">
        <v>907</v>
      </c>
      <c r="O699" s="24" t="s">
        <v>2785</v>
      </c>
      <c r="P699" s="27"/>
      <c r="Q699" s="27"/>
      <c r="R699" s="28" t="s">
        <v>2800</v>
      </c>
      <c r="S699" s="8" t="s">
        <v>2801</v>
      </c>
      <c r="T699" s="29" t="s">
        <v>2796</v>
      </c>
      <c r="U699" s="24"/>
    </row>
    <row r="700">
      <c r="A700" s="30">
        <v>51710.0</v>
      </c>
      <c r="B700" s="20" t="s">
        <v>3474</v>
      </c>
      <c r="C700" s="21">
        <v>0.11</v>
      </c>
      <c r="D700" s="21">
        <v>0.09999999</v>
      </c>
      <c r="E700" s="21">
        <v>0.11</v>
      </c>
      <c r="F700" s="22">
        <v>3.0</v>
      </c>
      <c r="G700" s="23"/>
      <c r="H700" s="32" t="s">
        <v>57</v>
      </c>
      <c r="I700" s="21" t="s">
        <v>3466</v>
      </c>
      <c r="J700" s="24" t="s">
        <v>3475</v>
      </c>
      <c r="K700" s="21" t="s">
        <v>3476</v>
      </c>
      <c r="L700" s="25" t="s">
        <v>3477</v>
      </c>
      <c r="M700" s="26" t="s">
        <v>28</v>
      </c>
      <c r="N700" s="24" t="s">
        <v>2311</v>
      </c>
      <c r="O700" s="24" t="s">
        <v>3478</v>
      </c>
      <c r="P700" s="27"/>
      <c r="Q700" s="27"/>
      <c r="R700" s="28" t="s">
        <v>3479</v>
      </c>
      <c r="S700" s="8" t="s">
        <v>3480</v>
      </c>
      <c r="T700" s="29" t="s">
        <v>3466</v>
      </c>
      <c r="U700" s="24"/>
    </row>
    <row r="701">
      <c r="A701" s="30">
        <v>4136154.0</v>
      </c>
      <c r="B701" s="20" t="s">
        <v>4758</v>
      </c>
      <c r="C701" s="21">
        <v>0.06</v>
      </c>
      <c r="D701" s="21">
        <v>0.17</v>
      </c>
      <c r="E701" s="21">
        <v>0.06</v>
      </c>
      <c r="F701" s="22">
        <v>5.0</v>
      </c>
      <c r="G701" s="23"/>
      <c r="H701" s="32" t="s">
        <v>57</v>
      </c>
      <c r="I701" s="21" t="s">
        <v>4746</v>
      </c>
      <c r="J701" s="24" t="s">
        <v>4759</v>
      </c>
      <c r="K701" s="21" t="s">
        <v>4760</v>
      </c>
      <c r="L701" s="25" t="s">
        <v>4761</v>
      </c>
      <c r="M701" s="26" t="s">
        <v>28</v>
      </c>
      <c r="N701" s="24" t="s">
        <v>700</v>
      </c>
      <c r="O701" s="24" t="s">
        <v>1078</v>
      </c>
      <c r="P701" s="27"/>
      <c r="Q701" s="27"/>
      <c r="R701" s="28" t="s">
        <v>4762</v>
      </c>
      <c r="S701" s="8" t="s">
        <v>4763</v>
      </c>
      <c r="T701" s="29" t="s">
        <v>4746</v>
      </c>
      <c r="U701" s="24"/>
    </row>
    <row r="702">
      <c r="A702" s="30">
        <v>52304.0</v>
      </c>
      <c r="B702" s="20" t="s">
        <v>4752</v>
      </c>
      <c r="C702" s="21">
        <v>0.06</v>
      </c>
      <c r="D702" s="21">
        <v>0.17</v>
      </c>
      <c r="E702" s="21">
        <v>0.07</v>
      </c>
      <c r="F702" s="22">
        <v>4.0</v>
      </c>
      <c r="G702" s="23"/>
      <c r="H702" s="32" t="s">
        <v>57</v>
      </c>
      <c r="I702" s="21" t="s">
        <v>4746</v>
      </c>
      <c r="J702" s="24" t="s">
        <v>4753</v>
      </c>
      <c r="K702" s="21" t="s">
        <v>4754</v>
      </c>
      <c r="L702" s="25" t="s">
        <v>4755</v>
      </c>
      <c r="M702" s="26" t="s">
        <v>28</v>
      </c>
      <c r="N702" s="24" t="s">
        <v>700</v>
      </c>
      <c r="O702" s="24" t="s">
        <v>1078</v>
      </c>
      <c r="P702" s="27"/>
      <c r="Q702" s="27"/>
      <c r="R702" s="28" t="s">
        <v>4756</v>
      </c>
      <c r="S702" s="33" t="s">
        <v>4757</v>
      </c>
      <c r="T702" s="29" t="s">
        <v>4746</v>
      </c>
      <c r="U702" s="24"/>
    </row>
    <row r="703">
      <c r="A703" s="30">
        <v>4136130.0</v>
      </c>
      <c r="B703" s="20" t="s">
        <v>4745</v>
      </c>
      <c r="C703" s="21">
        <v>0.06</v>
      </c>
      <c r="D703" s="21">
        <v>0.17</v>
      </c>
      <c r="E703" s="21">
        <v>0.06</v>
      </c>
      <c r="F703" s="22">
        <v>5.0</v>
      </c>
      <c r="G703" s="23"/>
      <c r="H703" s="32" t="s">
        <v>57</v>
      </c>
      <c r="I703" s="21" t="s">
        <v>4746</v>
      </c>
      <c r="J703" s="24" t="s">
        <v>4747</v>
      </c>
      <c r="K703" s="21" t="s">
        <v>4748</v>
      </c>
      <c r="L703" s="25" t="s">
        <v>4749</v>
      </c>
      <c r="M703" s="26" t="s">
        <v>28</v>
      </c>
      <c r="N703" s="24" t="s">
        <v>700</v>
      </c>
      <c r="O703" s="24" t="s">
        <v>1078</v>
      </c>
      <c r="P703" s="27"/>
      <c r="Q703" s="27"/>
      <c r="R703" s="28" t="s">
        <v>4750</v>
      </c>
      <c r="S703" s="8" t="s">
        <v>4751</v>
      </c>
      <c r="T703" s="29" t="s">
        <v>4746</v>
      </c>
      <c r="U703" s="24"/>
    </row>
    <row r="704">
      <c r="A704" s="30">
        <v>48185.0</v>
      </c>
      <c r="B704" s="20" t="s">
        <v>4879</v>
      </c>
      <c r="C704" s="21">
        <v>0.09</v>
      </c>
      <c r="D704" s="21">
        <v>0.09</v>
      </c>
      <c r="E704" s="21">
        <v>0.08</v>
      </c>
      <c r="F704" s="22">
        <v>4.0</v>
      </c>
      <c r="G704" s="23"/>
      <c r="H704" s="32" t="s">
        <v>57</v>
      </c>
      <c r="I704" s="21" t="s">
        <v>4880</v>
      </c>
      <c r="J704" s="24" t="s">
        <v>4881</v>
      </c>
      <c r="K704" s="21" t="s">
        <v>4882</v>
      </c>
      <c r="L704" s="25" t="s">
        <v>4883</v>
      </c>
      <c r="M704" s="26" t="s">
        <v>28</v>
      </c>
      <c r="N704" s="24" t="s">
        <v>4279</v>
      </c>
      <c r="O704" s="24" t="s">
        <v>4280</v>
      </c>
      <c r="P704" s="27"/>
      <c r="Q704" s="27"/>
      <c r="R704" s="28" t="s">
        <v>4884</v>
      </c>
      <c r="S704" s="8" t="s">
        <v>4885</v>
      </c>
      <c r="T704" s="29" t="s">
        <v>4880</v>
      </c>
      <c r="U704" s="24"/>
    </row>
    <row r="705">
      <c r="A705" s="30">
        <v>4125400.0</v>
      </c>
      <c r="B705" s="20" t="s">
        <v>979</v>
      </c>
      <c r="C705" s="21">
        <v>0.083</v>
      </c>
      <c r="D705" s="21">
        <v>0.065</v>
      </c>
      <c r="E705" s="21">
        <v>0.06</v>
      </c>
      <c r="F705" s="22">
        <v>4.0</v>
      </c>
      <c r="G705" s="23"/>
      <c r="H705" s="32" t="s">
        <v>57</v>
      </c>
      <c r="I705" s="21" t="s">
        <v>971</v>
      </c>
      <c r="J705" s="24" t="s">
        <v>980</v>
      </c>
      <c r="K705" s="21" t="s">
        <v>981</v>
      </c>
      <c r="L705" s="25" t="s">
        <v>982</v>
      </c>
      <c r="M705" s="26" t="s">
        <v>37</v>
      </c>
      <c r="N705" s="24"/>
      <c r="O705" s="24"/>
      <c r="P705" s="27"/>
      <c r="Q705" s="27"/>
      <c r="R705" s="31"/>
      <c r="S705" s="33"/>
      <c r="T705" s="29"/>
      <c r="U705" s="24"/>
    </row>
    <row r="706">
      <c r="A706" s="30">
        <v>7.29000664451E12</v>
      </c>
      <c r="B706" s="20" t="s">
        <v>4652</v>
      </c>
      <c r="C706" s="21">
        <v>0.066</v>
      </c>
      <c r="D706" s="21">
        <v>0.196</v>
      </c>
      <c r="E706" s="21">
        <v>0.066</v>
      </c>
      <c r="F706" s="22">
        <v>5.0</v>
      </c>
      <c r="G706" s="23"/>
      <c r="H706" s="24" t="s">
        <v>4653</v>
      </c>
      <c r="I706" s="21" t="s">
        <v>4654</v>
      </c>
      <c r="J706" s="24" t="s">
        <v>4655</v>
      </c>
      <c r="K706" s="21" t="s">
        <v>4656</v>
      </c>
      <c r="L706" s="25" t="s">
        <v>4657</v>
      </c>
      <c r="M706" s="26" t="s">
        <v>37</v>
      </c>
      <c r="N706" s="24" t="s">
        <v>718</v>
      </c>
      <c r="O706" s="24" t="s">
        <v>719</v>
      </c>
      <c r="P706" s="27"/>
      <c r="Q706" s="27"/>
      <c r="R706" s="31" t="s">
        <v>4658</v>
      </c>
      <c r="S706" s="33" t="s">
        <v>4659</v>
      </c>
      <c r="T706" s="29" t="e">
        <v>#N/A</v>
      </c>
      <c r="U706" s="24"/>
    </row>
    <row r="707">
      <c r="A707" s="30">
        <v>7.290006644527E12</v>
      </c>
      <c r="B707" s="20" t="s">
        <v>4672</v>
      </c>
      <c r="C707" s="21">
        <v>0.066</v>
      </c>
      <c r="D707" s="21">
        <v>0.196</v>
      </c>
      <c r="E707" s="21">
        <v>0.066</v>
      </c>
      <c r="F707" s="22">
        <v>5.0</v>
      </c>
      <c r="G707" s="23"/>
      <c r="H707" s="24" t="s">
        <v>4653</v>
      </c>
      <c r="I707" s="21" t="s">
        <v>4654</v>
      </c>
      <c r="J707" s="24" t="s">
        <v>4673</v>
      </c>
      <c r="K707" s="21" t="s">
        <v>4674</v>
      </c>
      <c r="L707" s="25" t="s">
        <v>4675</v>
      </c>
      <c r="M707" s="26" t="s">
        <v>37</v>
      </c>
      <c r="N707" s="24" t="s">
        <v>718</v>
      </c>
      <c r="O707" s="24" t="s">
        <v>719</v>
      </c>
      <c r="P707" s="27"/>
      <c r="Q707" s="27"/>
      <c r="R707" s="31" t="s">
        <v>4676</v>
      </c>
      <c r="S707" s="33" t="s">
        <v>4677</v>
      </c>
      <c r="T707" s="29" t="e">
        <v>#N/A</v>
      </c>
      <c r="U707" s="24"/>
    </row>
    <row r="708">
      <c r="A708" s="30">
        <v>7.29000556468E12</v>
      </c>
      <c r="B708" s="20" t="s">
        <v>4660</v>
      </c>
      <c r="C708" s="21">
        <v>0.09</v>
      </c>
      <c r="D708" s="21">
        <v>0.316</v>
      </c>
      <c r="E708" s="21">
        <v>0.09</v>
      </c>
      <c r="F708" s="22">
        <v>3.0</v>
      </c>
      <c r="G708" s="23"/>
      <c r="H708" s="24" t="s">
        <v>4653</v>
      </c>
      <c r="I708" s="21" t="s">
        <v>4654</v>
      </c>
      <c r="J708" s="24" t="s">
        <v>4661</v>
      </c>
      <c r="K708" s="21" t="s">
        <v>4662</v>
      </c>
      <c r="L708" s="25" t="s">
        <v>4663</v>
      </c>
      <c r="M708" s="26" t="s">
        <v>37</v>
      </c>
      <c r="N708" s="24" t="s">
        <v>718</v>
      </c>
      <c r="O708" s="24" t="s">
        <v>1526</v>
      </c>
      <c r="P708" s="27"/>
      <c r="Q708" s="27"/>
      <c r="R708" s="31" t="s">
        <v>4664</v>
      </c>
      <c r="S708" s="33" t="s">
        <v>4665</v>
      </c>
      <c r="T708" s="29" t="e">
        <v>#N/A</v>
      </c>
      <c r="U708" s="24"/>
    </row>
    <row r="709">
      <c r="A709" s="30">
        <v>7.290002663522E12</v>
      </c>
      <c r="B709" s="20" t="s">
        <v>4666</v>
      </c>
      <c r="C709" s="21">
        <v>0.09</v>
      </c>
      <c r="D709" s="21">
        <v>0.316</v>
      </c>
      <c r="E709" s="21">
        <v>0.09</v>
      </c>
      <c r="F709" s="22">
        <v>3.0</v>
      </c>
      <c r="G709" s="23"/>
      <c r="H709" s="24" t="s">
        <v>4653</v>
      </c>
      <c r="I709" s="21" t="s">
        <v>4654</v>
      </c>
      <c r="J709" s="24" t="s">
        <v>4667</v>
      </c>
      <c r="K709" s="21" t="s">
        <v>4668</v>
      </c>
      <c r="L709" s="25" t="s">
        <v>4669</v>
      </c>
      <c r="M709" s="26" t="s">
        <v>37</v>
      </c>
      <c r="N709" s="24" t="s">
        <v>718</v>
      </c>
      <c r="O709" s="24" t="s">
        <v>1526</v>
      </c>
      <c r="P709" s="27"/>
      <c r="Q709" s="27"/>
      <c r="R709" s="31" t="s">
        <v>4670</v>
      </c>
      <c r="S709" s="33" t="s">
        <v>4671</v>
      </c>
      <c r="T709" s="29" t="e">
        <v>#N/A</v>
      </c>
      <c r="U709" s="24"/>
    </row>
    <row r="710">
      <c r="A710" s="30">
        <v>7.290106662025E12</v>
      </c>
      <c r="B710" s="20" t="s">
        <v>4572</v>
      </c>
      <c r="C710" s="21">
        <v>0.133</v>
      </c>
      <c r="D710" s="21">
        <v>0.18</v>
      </c>
      <c r="E710" s="21">
        <v>0.06</v>
      </c>
      <c r="F710" s="22">
        <v>5.0</v>
      </c>
      <c r="G710" s="23"/>
      <c r="H710" s="24" t="s">
        <v>4561</v>
      </c>
      <c r="I710" s="21" t="s">
        <v>4562</v>
      </c>
      <c r="J710" s="24" t="s">
        <v>4573</v>
      </c>
      <c r="K710" s="21" t="s">
        <v>4574</v>
      </c>
      <c r="L710" s="25" t="s">
        <v>4575</v>
      </c>
      <c r="M710" s="26" t="s">
        <v>37</v>
      </c>
      <c r="N710" s="24" t="s">
        <v>109</v>
      </c>
      <c r="O710" s="24" t="s">
        <v>3867</v>
      </c>
      <c r="P710" s="27"/>
      <c r="Q710" s="27"/>
      <c r="R710" s="28" t="s">
        <v>4576</v>
      </c>
      <c r="S710" s="8" t="s">
        <v>4577</v>
      </c>
      <c r="T710" s="29" t="e">
        <v>#N/A</v>
      </c>
      <c r="U710" s="21" t="s">
        <v>113</v>
      </c>
    </row>
    <row r="711">
      <c r="A711" s="30">
        <v>7.29010472253E12</v>
      </c>
      <c r="B711" s="20" t="s">
        <v>4560</v>
      </c>
      <c r="C711" s="21">
        <v>0.1675</v>
      </c>
      <c r="D711" s="21">
        <v>0.3</v>
      </c>
      <c r="E711" s="21">
        <v>0.06</v>
      </c>
      <c r="F711" s="22">
        <v>5.0</v>
      </c>
      <c r="G711" s="23"/>
      <c r="H711" s="24" t="s">
        <v>4561</v>
      </c>
      <c r="I711" s="21" t="s">
        <v>4562</v>
      </c>
      <c r="J711" s="24" t="s">
        <v>4563</v>
      </c>
      <c r="K711" s="21" t="s">
        <v>4564</v>
      </c>
      <c r="L711" s="25" t="s">
        <v>4565</v>
      </c>
      <c r="M711" s="26" t="s">
        <v>28</v>
      </c>
      <c r="N711" s="24" t="s">
        <v>109</v>
      </c>
      <c r="O711" s="24" t="s">
        <v>3867</v>
      </c>
      <c r="P711" s="27"/>
      <c r="Q711" s="27"/>
      <c r="R711" s="28" t="s">
        <v>4566</v>
      </c>
      <c r="S711" s="8" t="s">
        <v>4565</v>
      </c>
      <c r="T711" s="29" t="s">
        <v>4562</v>
      </c>
      <c r="U711" s="21" t="s">
        <v>113</v>
      </c>
    </row>
    <row r="712">
      <c r="A712" s="30">
        <v>7.290112342195E12</v>
      </c>
      <c r="B712" s="20" t="s">
        <v>4583</v>
      </c>
      <c r="C712" s="21">
        <v>0.1675</v>
      </c>
      <c r="D712" s="21">
        <v>0.3</v>
      </c>
      <c r="E712" s="21">
        <v>0.06</v>
      </c>
      <c r="F712" s="22">
        <v>5.0</v>
      </c>
      <c r="G712" s="23"/>
      <c r="H712" s="24" t="s">
        <v>4561</v>
      </c>
      <c r="I712" s="21" t="s">
        <v>4562</v>
      </c>
      <c r="J712" s="24" t="s">
        <v>4584</v>
      </c>
      <c r="K712" s="21" t="s">
        <v>4585</v>
      </c>
      <c r="L712" s="25" t="s">
        <v>4586</v>
      </c>
      <c r="M712" s="26" t="s">
        <v>28</v>
      </c>
      <c r="N712" s="24" t="s">
        <v>109</v>
      </c>
      <c r="O712" s="24" t="s">
        <v>3867</v>
      </c>
      <c r="P712" s="27"/>
      <c r="Q712" s="27"/>
      <c r="R712" s="31" t="s">
        <v>4587</v>
      </c>
      <c r="S712" s="33" t="s">
        <v>4586</v>
      </c>
      <c r="T712" s="29" t="s">
        <v>4562</v>
      </c>
      <c r="U712" s="21" t="s">
        <v>113</v>
      </c>
    </row>
    <row r="713">
      <c r="A713" s="30">
        <v>7.290107942355E12</v>
      </c>
      <c r="B713" s="20" t="s">
        <v>4588</v>
      </c>
      <c r="C713" s="21">
        <v>0.14</v>
      </c>
      <c r="D713" s="21">
        <v>0.175</v>
      </c>
      <c r="E713" s="21">
        <v>0.06</v>
      </c>
      <c r="F713" s="22">
        <v>5.0</v>
      </c>
      <c r="G713" s="23"/>
      <c r="H713" s="24" t="s">
        <v>4561</v>
      </c>
      <c r="I713" s="21" t="s">
        <v>4562</v>
      </c>
      <c r="J713" s="24" t="s">
        <v>4589</v>
      </c>
      <c r="K713" s="21" t="s">
        <v>4590</v>
      </c>
      <c r="L713" s="25" t="s">
        <v>4591</v>
      </c>
      <c r="M713" s="26" t="s">
        <v>37</v>
      </c>
      <c r="N713" s="24" t="s">
        <v>109</v>
      </c>
      <c r="O713" s="24" t="s">
        <v>3867</v>
      </c>
      <c r="P713" s="27"/>
      <c r="Q713" s="27"/>
      <c r="R713" s="28" t="s">
        <v>4592</v>
      </c>
      <c r="S713" s="8" t="s">
        <v>4593</v>
      </c>
      <c r="T713" s="29" t="e">
        <v>#N/A</v>
      </c>
      <c r="U713" s="21" t="s">
        <v>113</v>
      </c>
    </row>
    <row r="714">
      <c r="A714" s="30">
        <v>7.290106524439E12</v>
      </c>
      <c r="B714" s="20" t="s">
        <v>4578</v>
      </c>
      <c r="C714" s="21">
        <v>0.133</v>
      </c>
      <c r="D714" s="21">
        <v>0.18</v>
      </c>
      <c r="E714" s="21">
        <v>0.06</v>
      </c>
      <c r="F714" s="22">
        <v>5.0</v>
      </c>
      <c r="G714" s="23"/>
      <c r="H714" s="24" t="s">
        <v>4561</v>
      </c>
      <c r="I714" s="21" t="s">
        <v>4562</v>
      </c>
      <c r="J714" s="24" t="s">
        <v>4579</v>
      </c>
      <c r="K714" s="21" t="s">
        <v>4580</v>
      </c>
      <c r="L714" s="25" t="s">
        <v>4581</v>
      </c>
      <c r="M714" s="26" t="s">
        <v>28</v>
      </c>
      <c r="N714" s="24" t="s">
        <v>109</v>
      </c>
      <c r="O714" s="24" t="s">
        <v>3867</v>
      </c>
      <c r="P714" s="27"/>
      <c r="Q714" s="27"/>
      <c r="R714" s="28" t="s">
        <v>4582</v>
      </c>
      <c r="S714" s="8" t="s">
        <v>4581</v>
      </c>
      <c r="T714" s="29" t="s">
        <v>4562</v>
      </c>
      <c r="U714" s="21" t="s">
        <v>113</v>
      </c>
    </row>
    <row r="715">
      <c r="A715" s="30">
        <v>7.29010203033E12</v>
      </c>
      <c r="B715" s="20" t="s">
        <v>4567</v>
      </c>
      <c r="C715" s="21">
        <v>0.1675</v>
      </c>
      <c r="D715" s="21">
        <v>0.3</v>
      </c>
      <c r="E715" s="21">
        <v>0.06</v>
      </c>
      <c r="F715" s="22">
        <v>5.0</v>
      </c>
      <c r="G715" s="23"/>
      <c r="H715" s="24" t="s">
        <v>4561</v>
      </c>
      <c r="I715" s="21" t="s">
        <v>4562</v>
      </c>
      <c r="J715" s="24" t="s">
        <v>4568</v>
      </c>
      <c r="K715" s="21" t="s">
        <v>4569</v>
      </c>
      <c r="L715" s="25" t="s">
        <v>4570</v>
      </c>
      <c r="M715" s="26" t="s">
        <v>28</v>
      </c>
      <c r="N715" s="24" t="s">
        <v>109</v>
      </c>
      <c r="O715" s="24" t="s">
        <v>3867</v>
      </c>
      <c r="P715" s="27"/>
      <c r="Q715" s="27"/>
      <c r="R715" s="28" t="s">
        <v>4571</v>
      </c>
      <c r="S715" s="8" t="s">
        <v>4570</v>
      </c>
      <c r="T715" s="29" t="s">
        <v>4562</v>
      </c>
      <c r="U715" s="21" t="s">
        <v>113</v>
      </c>
    </row>
    <row r="716">
      <c r="A716" s="30">
        <v>7.290008753111E12</v>
      </c>
      <c r="B716" s="20" t="s">
        <v>4594</v>
      </c>
      <c r="C716" s="21">
        <v>0.133</v>
      </c>
      <c r="D716" s="21">
        <v>0.18</v>
      </c>
      <c r="E716" s="21">
        <v>0.06</v>
      </c>
      <c r="F716" s="22">
        <v>5.0</v>
      </c>
      <c r="G716" s="23"/>
      <c r="H716" s="24" t="s">
        <v>4561</v>
      </c>
      <c r="I716" s="21" t="s">
        <v>4562</v>
      </c>
      <c r="J716" s="24" t="s">
        <v>4595</v>
      </c>
      <c r="K716" s="21" t="s">
        <v>4596</v>
      </c>
      <c r="L716" s="25" t="s">
        <v>4597</v>
      </c>
      <c r="M716" s="26" t="s">
        <v>37</v>
      </c>
      <c r="N716" s="24" t="s">
        <v>109</v>
      </c>
      <c r="O716" s="24" t="s">
        <v>3867</v>
      </c>
      <c r="P716" s="27"/>
      <c r="Q716" s="27"/>
      <c r="R716" s="28" t="s">
        <v>4598</v>
      </c>
      <c r="S716" s="8" t="s">
        <v>4599</v>
      </c>
      <c r="T716" s="29" t="e">
        <v>#N/A</v>
      </c>
      <c r="U716" s="21" t="s">
        <v>113</v>
      </c>
    </row>
    <row r="717">
      <c r="A717" s="30">
        <v>7.290112359018E12</v>
      </c>
      <c r="B717" s="20" t="s">
        <v>4605</v>
      </c>
      <c r="C717" s="21">
        <v>0.13</v>
      </c>
      <c r="D717" s="21">
        <v>0.18</v>
      </c>
      <c r="E717" s="21">
        <v>0.043</v>
      </c>
      <c r="F717" s="22">
        <v>7.0</v>
      </c>
      <c r="G717" s="23"/>
      <c r="H717" s="24" t="s">
        <v>4561</v>
      </c>
      <c r="I717" s="21" t="s">
        <v>4562</v>
      </c>
      <c r="J717" s="24" t="s">
        <v>4606</v>
      </c>
      <c r="K717" s="21" t="s">
        <v>4607</v>
      </c>
      <c r="L717" s="25" t="s">
        <v>4608</v>
      </c>
      <c r="M717" s="26" t="s">
        <v>28</v>
      </c>
      <c r="N717" s="24" t="s">
        <v>109</v>
      </c>
      <c r="O717" s="24" t="s">
        <v>3867</v>
      </c>
      <c r="P717" s="27"/>
      <c r="Q717" s="27"/>
      <c r="R717" s="28" t="s">
        <v>4609</v>
      </c>
      <c r="S717" s="8" t="s">
        <v>4608</v>
      </c>
      <c r="T717" s="29" t="s">
        <v>4562</v>
      </c>
      <c r="U717" s="21" t="s">
        <v>113</v>
      </c>
    </row>
    <row r="718">
      <c r="A718" s="30">
        <v>7.290110561918E12</v>
      </c>
      <c r="B718" s="20" t="s">
        <v>4600</v>
      </c>
      <c r="C718" s="21">
        <v>0.13</v>
      </c>
      <c r="D718" s="21">
        <v>0.18</v>
      </c>
      <c r="E718" s="21">
        <v>0.05</v>
      </c>
      <c r="F718" s="22">
        <v>6.0</v>
      </c>
      <c r="G718" s="23"/>
      <c r="H718" s="24" t="s">
        <v>4561</v>
      </c>
      <c r="I718" s="21" t="s">
        <v>4562</v>
      </c>
      <c r="J718" s="24" t="s">
        <v>4601</v>
      </c>
      <c r="K718" s="21" t="s">
        <v>4602</v>
      </c>
      <c r="L718" s="25" t="s">
        <v>4603</v>
      </c>
      <c r="M718" s="26" t="s">
        <v>28</v>
      </c>
      <c r="N718" s="24" t="s">
        <v>109</v>
      </c>
      <c r="O718" s="24" t="s">
        <v>3867</v>
      </c>
      <c r="P718" s="27"/>
      <c r="Q718" s="27"/>
      <c r="R718" s="28" t="s">
        <v>4604</v>
      </c>
      <c r="S718" s="8" t="s">
        <v>4603</v>
      </c>
      <c r="T718" s="29" t="s">
        <v>4562</v>
      </c>
      <c r="U718" s="21" t="s">
        <v>113</v>
      </c>
    </row>
    <row r="719">
      <c r="A719" s="30">
        <v>7.290000178721E12</v>
      </c>
      <c r="B719" s="20" t="s">
        <v>4622</v>
      </c>
      <c r="C719" s="21">
        <v>0.1675</v>
      </c>
      <c r="D719" s="21">
        <v>0.3</v>
      </c>
      <c r="E719" s="21">
        <v>0.06</v>
      </c>
      <c r="F719" s="22">
        <v>5.0</v>
      </c>
      <c r="G719" s="23"/>
      <c r="H719" s="24" t="s">
        <v>4561</v>
      </c>
      <c r="I719" s="21" t="s">
        <v>4562</v>
      </c>
      <c r="J719" s="24" t="s">
        <v>4623</v>
      </c>
      <c r="K719" s="21" t="s">
        <v>4624</v>
      </c>
      <c r="L719" s="25" t="s">
        <v>4625</v>
      </c>
      <c r="M719" s="26" t="s">
        <v>37</v>
      </c>
      <c r="N719" s="24" t="s">
        <v>109</v>
      </c>
      <c r="O719" s="24" t="s">
        <v>3867</v>
      </c>
      <c r="P719" s="27"/>
      <c r="Q719" s="27"/>
      <c r="R719" s="28" t="s">
        <v>4626</v>
      </c>
      <c r="S719" s="8" t="s">
        <v>4627</v>
      </c>
      <c r="T719" s="29" t="e">
        <v>#N/A</v>
      </c>
      <c r="U719" s="21" t="s">
        <v>113</v>
      </c>
    </row>
    <row r="720">
      <c r="A720" s="30">
        <v>7.290000178707E12</v>
      </c>
      <c r="B720" s="20" t="s">
        <v>4628</v>
      </c>
      <c r="C720" s="21">
        <v>0.133</v>
      </c>
      <c r="D720" s="21">
        <v>0.18</v>
      </c>
      <c r="E720" s="21">
        <v>0.06</v>
      </c>
      <c r="F720" s="22">
        <v>5.0</v>
      </c>
      <c r="G720" s="23"/>
      <c r="H720" s="24" t="s">
        <v>4561</v>
      </c>
      <c r="I720" s="21" t="s">
        <v>4562</v>
      </c>
      <c r="J720" s="24" t="s">
        <v>4629</v>
      </c>
      <c r="K720" s="21" t="s">
        <v>4630</v>
      </c>
      <c r="L720" s="25" t="s">
        <v>4631</v>
      </c>
      <c r="M720" s="26" t="s">
        <v>37</v>
      </c>
      <c r="N720" s="24" t="s">
        <v>109</v>
      </c>
      <c r="O720" s="24" t="s">
        <v>3867</v>
      </c>
      <c r="P720" s="27"/>
      <c r="Q720" s="27"/>
      <c r="R720" s="28" t="s">
        <v>4632</v>
      </c>
      <c r="S720" s="8" t="s">
        <v>4633</v>
      </c>
      <c r="T720" s="29" t="e">
        <v>#N/A</v>
      </c>
      <c r="U720" s="21" t="s">
        <v>113</v>
      </c>
    </row>
    <row r="721">
      <c r="A721" s="30">
        <v>7.29011567699E12</v>
      </c>
      <c r="B721" s="20" t="s">
        <v>4646</v>
      </c>
      <c r="C721" s="21">
        <v>0.14</v>
      </c>
      <c r="D721" s="21">
        <v>0.175</v>
      </c>
      <c r="E721" s="21">
        <v>0.045</v>
      </c>
      <c r="F721" s="22">
        <v>7.0</v>
      </c>
      <c r="G721" s="23"/>
      <c r="H721" s="24" t="s">
        <v>4561</v>
      </c>
      <c r="I721" s="21" t="s">
        <v>4562</v>
      </c>
      <c r="J721" s="24" t="s">
        <v>4647</v>
      </c>
      <c r="K721" s="21" t="s">
        <v>4648</v>
      </c>
      <c r="L721" s="25" t="s">
        <v>4649</v>
      </c>
      <c r="M721" s="26" t="s">
        <v>37</v>
      </c>
      <c r="N721" s="24" t="s">
        <v>109</v>
      </c>
      <c r="O721" s="24" t="s">
        <v>3867</v>
      </c>
      <c r="P721" s="27"/>
      <c r="Q721" s="27"/>
      <c r="R721" s="28" t="s">
        <v>4650</v>
      </c>
      <c r="S721" s="8" t="s">
        <v>4651</v>
      </c>
      <c r="T721" s="29" t="e">
        <v>#N/A</v>
      </c>
      <c r="U721" s="21" t="s">
        <v>113</v>
      </c>
    </row>
    <row r="722">
      <c r="A722" s="30">
        <v>7.290008752244E12</v>
      </c>
      <c r="B722" s="20" t="s">
        <v>4616</v>
      </c>
      <c r="C722" s="21">
        <v>0.133</v>
      </c>
      <c r="D722" s="21">
        <v>0.18</v>
      </c>
      <c r="E722" s="21">
        <v>0.06</v>
      </c>
      <c r="F722" s="22">
        <v>5.0</v>
      </c>
      <c r="G722" s="23"/>
      <c r="H722" s="24" t="s">
        <v>4561</v>
      </c>
      <c r="I722" s="21" t="s">
        <v>4562</v>
      </c>
      <c r="J722" s="24" t="s">
        <v>4617</v>
      </c>
      <c r="K722" s="21" t="s">
        <v>4618</v>
      </c>
      <c r="L722" s="25" t="s">
        <v>4619</v>
      </c>
      <c r="M722" s="26" t="s">
        <v>37</v>
      </c>
      <c r="N722" s="24" t="s">
        <v>109</v>
      </c>
      <c r="O722" s="24" t="s">
        <v>3867</v>
      </c>
      <c r="P722" s="27"/>
      <c r="Q722" s="27"/>
      <c r="R722" s="28" t="s">
        <v>4620</v>
      </c>
      <c r="S722" s="8" t="s">
        <v>4621</v>
      </c>
      <c r="T722" s="29" t="e">
        <v>#N/A</v>
      </c>
      <c r="U722" s="21" t="s">
        <v>113</v>
      </c>
    </row>
    <row r="723">
      <c r="A723" s="30">
        <v>7.290008747547E12</v>
      </c>
      <c r="B723" s="20" t="s">
        <v>4634</v>
      </c>
      <c r="C723" s="21">
        <v>0.1675</v>
      </c>
      <c r="D723" s="21">
        <v>0.3</v>
      </c>
      <c r="E723" s="21">
        <v>0.06</v>
      </c>
      <c r="F723" s="22">
        <v>5.0</v>
      </c>
      <c r="G723" s="23"/>
      <c r="H723" s="24" t="s">
        <v>4561</v>
      </c>
      <c r="I723" s="21" t="s">
        <v>4562</v>
      </c>
      <c r="J723" s="24" t="s">
        <v>4635</v>
      </c>
      <c r="K723" s="21" t="s">
        <v>4636</v>
      </c>
      <c r="L723" s="25" t="s">
        <v>4637</v>
      </c>
      <c r="M723" s="26" t="s">
        <v>37</v>
      </c>
      <c r="N723" s="24" t="s">
        <v>109</v>
      </c>
      <c r="O723" s="24" t="s">
        <v>3867</v>
      </c>
      <c r="P723" s="27"/>
      <c r="Q723" s="27"/>
      <c r="R723" s="28" t="s">
        <v>4638</v>
      </c>
      <c r="S723" s="8" t="s">
        <v>4639</v>
      </c>
      <c r="T723" s="29" t="e">
        <v>#N/A</v>
      </c>
      <c r="U723" s="21" t="s">
        <v>113</v>
      </c>
    </row>
    <row r="724">
      <c r="A724" s="30">
        <v>7.290008745239E12</v>
      </c>
      <c r="B724" s="20" t="s">
        <v>4640</v>
      </c>
      <c r="C724" s="21">
        <v>0.133</v>
      </c>
      <c r="D724" s="21">
        <v>0.18</v>
      </c>
      <c r="E724" s="21">
        <v>0.06</v>
      </c>
      <c r="F724" s="22">
        <v>5.0</v>
      </c>
      <c r="G724" s="23"/>
      <c r="H724" s="24" t="s">
        <v>4561</v>
      </c>
      <c r="I724" s="21" t="s">
        <v>4562</v>
      </c>
      <c r="J724" s="24" t="s">
        <v>4641</v>
      </c>
      <c r="K724" s="21" t="s">
        <v>4642</v>
      </c>
      <c r="L724" s="25" t="s">
        <v>4643</v>
      </c>
      <c r="M724" s="26" t="s">
        <v>37</v>
      </c>
      <c r="N724" s="24" t="s">
        <v>109</v>
      </c>
      <c r="O724" s="24" t="s">
        <v>3867</v>
      </c>
      <c r="P724" s="27"/>
      <c r="Q724" s="27"/>
      <c r="R724" s="28" t="s">
        <v>4644</v>
      </c>
      <c r="S724" s="8" t="s">
        <v>4645</v>
      </c>
      <c r="T724" s="29" t="e">
        <v>#N/A</v>
      </c>
      <c r="U724" s="21" t="s">
        <v>113</v>
      </c>
    </row>
    <row r="725">
      <c r="A725" s="30">
        <v>7.290005200786E12</v>
      </c>
      <c r="B725" s="20" t="s">
        <v>4610</v>
      </c>
      <c r="C725" s="21">
        <v>0.133</v>
      </c>
      <c r="D725" s="21">
        <v>0.18</v>
      </c>
      <c r="E725" s="21">
        <v>0.06</v>
      </c>
      <c r="F725" s="22">
        <v>5.0</v>
      </c>
      <c r="G725" s="23"/>
      <c r="H725" s="24" t="s">
        <v>4561</v>
      </c>
      <c r="I725" s="21" t="s">
        <v>4562</v>
      </c>
      <c r="J725" s="24" t="s">
        <v>4611</v>
      </c>
      <c r="K725" s="21" t="s">
        <v>4612</v>
      </c>
      <c r="L725" s="25" t="s">
        <v>4613</v>
      </c>
      <c r="M725" s="26" t="s">
        <v>37</v>
      </c>
      <c r="N725" s="24" t="s">
        <v>109</v>
      </c>
      <c r="O725" s="24" t="s">
        <v>3867</v>
      </c>
      <c r="P725" s="27"/>
      <c r="Q725" s="27"/>
      <c r="R725" s="28" t="s">
        <v>4614</v>
      </c>
      <c r="S725" s="8" t="s">
        <v>4615</v>
      </c>
      <c r="T725" s="29" t="e">
        <v>#N/A</v>
      </c>
      <c r="U725" s="21" t="s">
        <v>113</v>
      </c>
    </row>
    <row r="728">
      <c r="L728" s="76" t="s">
        <v>4269</v>
      </c>
    </row>
    <row r="729">
      <c r="L729" s="76" t="s">
        <v>43</v>
      </c>
    </row>
    <row r="730">
      <c r="H730" s="77" t="s">
        <v>3170</v>
      </c>
      <c r="I730" s="78" t="s">
        <v>5991</v>
      </c>
      <c r="L730" s="76" t="s">
        <v>27</v>
      </c>
    </row>
    <row r="731">
      <c r="H731" s="76" t="s">
        <v>3233</v>
      </c>
      <c r="L731" s="76" t="s">
        <v>36</v>
      </c>
    </row>
    <row r="732">
      <c r="H732" s="77" t="s">
        <v>4822</v>
      </c>
      <c r="L732" s="76" t="s">
        <v>128</v>
      </c>
    </row>
    <row r="733">
      <c r="H733" s="79" t="s">
        <v>4868</v>
      </c>
      <c r="L733" s="76" t="s">
        <v>123</v>
      </c>
    </row>
    <row r="734">
      <c r="H734" s="76" t="s">
        <v>189</v>
      </c>
      <c r="L734" s="76" t="s">
        <v>108</v>
      </c>
    </row>
    <row r="735">
      <c r="H735" s="77" t="s">
        <v>2071</v>
      </c>
      <c r="L735" s="76" t="s">
        <v>117</v>
      </c>
    </row>
    <row r="736">
      <c r="H736" s="76" t="s">
        <v>4770</v>
      </c>
      <c r="L736" s="76" t="s">
        <v>136</v>
      </c>
    </row>
    <row r="737">
      <c r="H737" s="76" t="s">
        <v>4732</v>
      </c>
      <c r="L737" s="76" t="s">
        <v>148</v>
      </c>
    </row>
    <row r="738">
      <c r="H738" s="76" t="s">
        <v>2062</v>
      </c>
      <c r="L738" s="76" t="s">
        <v>156</v>
      </c>
    </row>
    <row r="739">
      <c r="H739" s="79" t="s">
        <v>588</v>
      </c>
      <c r="L739" s="76" t="s">
        <v>175</v>
      </c>
    </row>
    <row r="740">
      <c r="H740" s="80" t="s">
        <v>2360</v>
      </c>
      <c r="L740" s="76" t="s">
        <v>169</v>
      </c>
    </row>
    <row r="741">
      <c r="H741" s="76" t="s">
        <v>5193</v>
      </c>
      <c r="L741" s="76" t="s">
        <v>162</v>
      </c>
    </row>
    <row r="742">
      <c r="H742" s="80" t="s">
        <v>2862</v>
      </c>
      <c r="L742" s="76" t="s">
        <v>511</v>
      </c>
    </row>
    <row r="743">
      <c r="H743" s="77" t="s">
        <v>2681</v>
      </c>
      <c r="L743" s="76" t="s">
        <v>526</v>
      </c>
    </row>
    <row r="744">
      <c r="H744" s="80" t="s">
        <v>2698</v>
      </c>
      <c r="L744" s="76" t="s">
        <v>520</v>
      </c>
    </row>
    <row r="745">
      <c r="H745" s="76" t="s">
        <v>2643</v>
      </c>
      <c r="L745" s="76" t="s">
        <v>3582</v>
      </c>
    </row>
    <row r="746">
      <c r="H746" s="79" t="s">
        <v>3160</v>
      </c>
      <c r="L746" s="76" t="s">
        <v>3555</v>
      </c>
    </row>
    <row r="747">
      <c r="H747" s="79" t="s">
        <v>3140</v>
      </c>
      <c r="L747" s="76" t="s">
        <v>5992</v>
      </c>
    </row>
    <row r="748">
      <c r="H748" s="79" t="s">
        <v>3009</v>
      </c>
      <c r="L748" s="76" t="s">
        <v>5993</v>
      </c>
    </row>
    <row r="749">
      <c r="H749" s="79" t="s">
        <v>4322</v>
      </c>
      <c r="L749" s="76" t="s">
        <v>5994</v>
      </c>
    </row>
    <row r="750">
      <c r="H750" s="77" t="s">
        <v>4399</v>
      </c>
      <c r="I750" s="78" t="s">
        <v>5995</v>
      </c>
      <c r="L750" s="76" t="s">
        <v>267</v>
      </c>
    </row>
    <row r="751">
      <c r="H751" s="76" t="s">
        <v>4811</v>
      </c>
      <c r="L751" s="76" t="s">
        <v>262</v>
      </c>
    </row>
    <row r="752">
      <c r="H752" s="76" t="s">
        <v>5212</v>
      </c>
      <c r="L752" s="76" t="s">
        <v>272</v>
      </c>
    </row>
    <row r="753">
      <c r="H753" s="79" t="s">
        <v>3456</v>
      </c>
      <c r="L753" s="76" t="s">
        <v>256</v>
      </c>
    </row>
    <row r="754">
      <c r="H754" s="76" t="s">
        <v>1189</v>
      </c>
      <c r="L754" s="76" t="s">
        <v>249</v>
      </c>
    </row>
    <row r="755">
      <c r="H755" s="76" t="s">
        <v>3386</v>
      </c>
      <c r="L755" s="76" t="s">
        <v>364</v>
      </c>
    </row>
    <row r="756">
      <c r="H756" s="76" t="s">
        <v>5230</v>
      </c>
      <c r="L756" s="76" t="s">
        <v>428</v>
      </c>
    </row>
    <row r="757">
      <c r="H757" s="77" t="s">
        <v>1445</v>
      </c>
      <c r="L757" s="76" t="s">
        <v>374</v>
      </c>
    </row>
    <row r="758">
      <c r="H758" s="76" t="s">
        <v>3440</v>
      </c>
      <c r="L758" s="76" t="s">
        <v>433</v>
      </c>
    </row>
    <row r="759">
      <c r="H759" s="77" t="s">
        <v>2100</v>
      </c>
      <c r="I759" s="78" t="s">
        <v>5996</v>
      </c>
      <c r="L759" s="76" t="s">
        <v>379</v>
      </c>
    </row>
    <row r="760">
      <c r="H760" s="80" t="s">
        <v>724</v>
      </c>
      <c r="L760" s="76" t="s">
        <v>416</v>
      </c>
    </row>
    <row r="761">
      <c r="H761" s="76" t="s">
        <v>3953</v>
      </c>
      <c r="L761" s="76" t="s">
        <v>404</v>
      </c>
    </row>
    <row r="762">
      <c r="H762" s="80" t="s">
        <v>621</v>
      </c>
      <c r="L762" s="76" t="s">
        <v>392</v>
      </c>
    </row>
    <row r="763">
      <c r="L763" s="76" t="s">
        <v>439</v>
      </c>
    </row>
    <row r="764">
      <c r="L764" s="76" t="s">
        <v>386</v>
      </c>
    </row>
    <row r="765">
      <c r="L765" s="76" t="s">
        <v>422</v>
      </c>
    </row>
    <row r="766">
      <c r="L766" s="76" t="s">
        <v>410</v>
      </c>
    </row>
    <row r="767">
      <c r="L767" s="76" t="s">
        <v>398</v>
      </c>
    </row>
    <row r="768">
      <c r="L768" s="76" t="s">
        <v>467</v>
      </c>
    </row>
    <row r="769">
      <c r="L769" s="76" t="s">
        <v>448</v>
      </c>
    </row>
    <row r="770">
      <c r="L770" s="76" t="s">
        <v>479</v>
      </c>
    </row>
    <row r="771">
      <c r="L771" s="76" t="s">
        <v>461</v>
      </c>
    </row>
    <row r="772">
      <c r="L772" s="76" t="s">
        <v>455</v>
      </c>
    </row>
    <row r="773">
      <c r="L773" s="76" t="s">
        <v>473</v>
      </c>
    </row>
    <row r="774">
      <c r="L774" s="76" t="s">
        <v>492</v>
      </c>
    </row>
    <row r="775">
      <c r="L775" s="76" t="s">
        <v>535</v>
      </c>
    </row>
    <row r="776">
      <c r="L776" s="76" t="s">
        <v>583</v>
      </c>
    </row>
    <row r="777">
      <c r="L777" s="76" t="s">
        <v>561</v>
      </c>
    </row>
    <row r="778">
      <c r="L778" s="76" t="s">
        <v>570</v>
      </c>
    </row>
    <row r="779">
      <c r="L779" s="76" t="s">
        <v>577</v>
      </c>
    </row>
    <row r="780">
      <c r="L780" s="76" t="s">
        <v>5997</v>
      </c>
    </row>
    <row r="781">
      <c r="L781" s="76" t="s">
        <v>602</v>
      </c>
    </row>
    <row r="782">
      <c r="L782" s="76" t="s">
        <v>608</v>
      </c>
    </row>
    <row r="783">
      <c r="L783" s="76" t="s">
        <v>615</v>
      </c>
    </row>
    <row r="784">
      <c r="L784" s="76" t="s">
        <v>717</v>
      </c>
    </row>
    <row r="785">
      <c r="L785" s="76" t="s">
        <v>798</v>
      </c>
    </row>
    <row r="786">
      <c r="L786" s="76" t="s">
        <v>833</v>
      </c>
    </row>
    <row r="787">
      <c r="L787" s="76" t="s">
        <v>870</v>
      </c>
    </row>
    <row r="788">
      <c r="L788" s="76" t="s">
        <v>839</v>
      </c>
    </row>
    <row r="789">
      <c r="L789" s="76" t="s">
        <v>821</v>
      </c>
    </row>
    <row r="790">
      <c r="L790" s="76" t="s">
        <v>846</v>
      </c>
    </row>
    <row r="791">
      <c r="L791" s="76" t="s">
        <v>852</v>
      </c>
    </row>
    <row r="792">
      <c r="L792" s="76" t="s">
        <v>858</v>
      </c>
    </row>
    <row r="793">
      <c r="L793" s="76" t="s">
        <v>864</v>
      </c>
    </row>
    <row r="794">
      <c r="L794" s="76" t="s">
        <v>827</v>
      </c>
    </row>
    <row r="795">
      <c r="L795" s="76" t="s">
        <v>806</v>
      </c>
    </row>
    <row r="796">
      <c r="L796" s="76" t="s">
        <v>876</v>
      </c>
    </row>
    <row r="797">
      <c r="L797" s="76" t="s">
        <v>813</v>
      </c>
    </row>
    <row r="798">
      <c r="L798" s="76" t="s">
        <v>884</v>
      </c>
    </row>
    <row r="799">
      <c r="L799" s="76" t="s">
        <v>899</v>
      </c>
    </row>
    <row r="800">
      <c r="L800" s="76" t="s">
        <v>892</v>
      </c>
    </row>
    <row r="801">
      <c r="L801" s="76" t="s">
        <v>1109</v>
      </c>
    </row>
    <row r="802">
      <c r="L802" s="76" t="s">
        <v>1119</v>
      </c>
    </row>
    <row r="803">
      <c r="L803" s="76" t="s">
        <v>1093</v>
      </c>
    </row>
    <row r="804">
      <c r="L804" s="76" t="s">
        <v>1124</v>
      </c>
    </row>
    <row r="805">
      <c r="L805" s="76" t="s">
        <v>1099</v>
      </c>
    </row>
    <row r="806">
      <c r="L806" s="76" t="s">
        <v>1114</v>
      </c>
    </row>
    <row r="807">
      <c r="L807" s="76" t="s">
        <v>1104</v>
      </c>
    </row>
    <row r="808">
      <c r="L808" s="76" t="s">
        <v>1131</v>
      </c>
    </row>
    <row r="809">
      <c r="L809" s="76" t="s">
        <v>3003</v>
      </c>
    </row>
    <row r="810">
      <c r="L810" s="76" t="s">
        <v>1340</v>
      </c>
    </row>
    <row r="811">
      <c r="L811" s="76" t="s">
        <v>1371</v>
      </c>
    </row>
    <row r="812">
      <c r="L812" s="76" t="s">
        <v>1350</v>
      </c>
    </row>
    <row r="813">
      <c r="L813" s="76" t="s">
        <v>1358</v>
      </c>
    </row>
    <row r="814">
      <c r="L814" s="76" t="s">
        <v>1377</v>
      </c>
    </row>
    <row r="815">
      <c r="L815" s="76" t="s">
        <v>1365</v>
      </c>
    </row>
    <row r="816">
      <c r="L816" s="76" t="s">
        <v>1384</v>
      </c>
    </row>
    <row r="817">
      <c r="L817" s="76" t="s">
        <v>1400</v>
      </c>
    </row>
    <row r="818">
      <c r="L818" s="76" t="s">
        <v>1405</v>
      </c>
    </row>
    <row r="819">
      <c r="L819" s="76" t="s">
        <v>1394</v>
      </c>
    </row>
    <row r="820">
      <c r="L820" s="76" t="s">
        <v>1425</v>
      </c>
    </row>
    <row r="821">
      <c r="L821" s="76" t="s">
        <v>1412</v>
      </c>
    </row>
    <row r="822">
      <c r="L822" s="76" t="s">
        <v>1420</v>
      </c>
    </row>
    <row r="823">
      <c r="L823" s="76" t="s">
        <v>1562</v>
      </c>
    </row>
    <row r="824">
      <c r="L824" s="76" t="s">
        <v>1554</v>
      </c>
    </row>
    <row r="825">
      <c r="L825" s="76" t="s">
        <v>1568</v>
      </c>
    </row>
    <row r="826">
      <c r="L826" s="76" t="s">
        <v>1574</v>
      </c>
    </row>
    <row r="827">
      <c r="L827" s="76" t="s">
        <v>1518</v>
      </c>
    </row>
    <row r="828">
      <c r="L828" s="76" t="s">
        <v>1539</v>
      </c>
    </row>
    <row r="829">
      <c r="L829" s="76" t="s">
        <v>1525</v>
      </c>
    </row>
    <row r="830">
      <c r="L830" s="76" t="s">
        <v>1533</v>
      </c>
    </row>
    <row r="831">
      <c r="L831" s="76" t="s">
        <v>1545</v>
      </c>
    </row>
    <row r="832">
      <c r="L832" s="76" t="s">
        <v>1632</v>
      </c>
    </row>
    <row r="833">
      <c r="L833" s="76" t="s">
        <v>1620</v>
      </c>
    </row>
    <row r="834">
      <c r="L834" s="76" t="s">
        <v>1626</v>
      </c>
    </row>
    <row r="835">
      <c r="L835" s="76" t="s">
        <v>1605</v>
      </c>
    </row>
    <row r="836">
      <c r="L836" s="76" t="s">
        <v>1614</v>
      </c>
    </row>
    <row r="837">
      <c r="L837" s="76" t="s">
        <v>1590</v>
      </c>
    </row>
    <row r="838">
      <c r="L838" s="76" t="s">
        <v>1635</v>
      </c>
    </row>
    <row r="839">
      <c r="L839" s="76" t="s">
        <v>1583</v>
      </c>
    </row>
    <row r="840">
      <c r="L840" s="76" t="s">
        <v>1599</v>
      </c>
    </row>
    <row r="841">
      <c r="L841" s="76" t="s">
        <v>1593</v>
      </c>
    </row>
    <row r="842">
      <c r="L842" s="76" t="s">
        <v>1608</v>
      </c>
    </row>
    <row r="843">
      <c r="L843" s="76" t="s">
        <v>1644</v>
      </c>
    </row>
    <row r="844">
      <c r="L844" s="76" t="s">
        <v>1651</v>
      </c>
    </row>
    <row r="845">
      <c r="L845" s="76" t="s">
        <v>1740</v>
      </c>
    </row>
    <row r="846">
      <c r="L846" s="76" t="s">
        <v>1734</v>
      </c>
    </row>
    <row r="847">
      <c r="L847" s="76" t="s">
        <v>1752</v>
      </c>
    </row>
    <row r="848">
      <c r="L848" s="76" t="s">
        <v>1746</v>
      </c>
    </row>
    <row r="849">
      <c r="L849" s="76" t="s">
        <v>1816</v>
      </c>
    </row>
    <row r="850">
      <c r="L850" s="76" t="s">
        <v>1809</v>
      </c>
    </row>
    <row r="851">
      <c r="L851" s="76" t="s">
        <v>1834</v>
      </c>
    </row>
    <row r="852">
      <c r="L852" s="76" t="s">
        <v>1847</v>
      </c>
    </row>
    <row r="853">
      <c r="L853" s="76" t="s">
        <v>1802</v>
      </c>
    </row>
    <row r="854">
      <c r="L854" s="76" t="s">
        <v>1821</v>
      </c>
    </row>
    <row r="855">
      <c r="L855" s="76" t="s">
        <v>1793</v>
      </c>
    </row>
    <row r="856">
      <c r="L856" s="76" t="s">
        <v>1853</v>
      </c>
    </row>
    <row r="857">
      <c r="L857" s="76" t="s">
        <v>1827</v>
      </c>
    </row>
    <row r="858">
      <c r="L858" s="76" t="s">
        <v>1840</v>
      </c>
    </row>
    <row r="859">
      <c r="L859" s="76" t="s">
        <v>1860</v>
      </c>
    </row>
    <row r="860">
      <c r="L860" s="76" t="s">
        <v>1868</v>
      </c>
    </row>
    <row r="861">
      <c r="L861" s="76" t="s">
        <v>1876</v>
      </c>
    </row>
    <row r="862">
      <c r="L862" s="76" t="s">
        <v>4513</v>
      </c>
    </row>
    <row r="863">
      <c r="L863" s="76" t="s">
        <v>542</v>
      </c>
    </row>
    <row r="864">
      <c r="L864" s="76" t="s">
        <v>1882</v>
      </c>
    </row>
    <row r="865">
      <c r="L865" s="76" t="s">
        <v>1924</v>
      </c>
    </row>
    <row r="866">
      <c r="L866" s="76" t="s">
        <v>1936</v>
      </c>
    </row>
    <row r="867">
      <c r="L867" s="76" t="s">
        <v>1917</v>
      </c>
    </row>
    <row r="868">
      <c r="L868" s="76" t="s">
        <v>1930</v>
      </c>
    </row>
    <row r="869">
      <c r="L869" s="76" t="s">
        <v>4675</v>
      </c>
    </row>
    <row r="870">
      <c r="L870" s="76" t="s">
        <v>4657</v>
      </c>
    </row>
    <row r="871">
      <c r="L871" s="76" t="s">
        <v>1990</v>
      </c>
    </row>
    <row r="872">
      <c r="L872" s="76" t="s">
        <v>1960</v>
      </c>
    </row>
    <row r="873">
      <c r="L873" s="76" t="s">
        <v>1972</v>
      </c>
    </row>
    <row r="874">
      <c r="L874" s="76" t="s">
        <v>1966</v>
      </c>
    </row>
    <row r="875">
      <c r="L875" s="76" t="s">
        <v>2004</v>
      </c>
    </row>
    <row r="876">
      <c r="L876" s="76" t="s">
        <v>1984</v>
      </c>
    </row>
    <row r="877">
      <c r="L877" s="76" t="s">
        <v>1997</v>
      </c>
    </row>
    <row r="878">
      <c r="L878" s="76" t="s">
        <v>1954</v>
      </c>
    </row>
    <row r="879">
      <c r="L879" s="76" t="s">
        <v>1978</v>
      </c>
    </row>
    <row r="880">
      <c r="L880" s="76" t="s">
        <v>2012</v>
      </c>
    </row>
    <row r="881">
      <c r="L881" s="76" t="s">
        <v>2018</v>
      </c>
    </row>
    <row r="882">
      <c r="L882" s="76" t="s">
        <v>2042</v>
      </c>
    </row>
    <row r="883">
      <c r="L883" s="76" t="s">
        <v>2057</v>
      </c>
    </row>
    <row r="884">
      <c r="L884" s="76" t="s">
        <v>2051</v>
      </c>
    </row>
    <row r="885">
      <c r="L885" s="76" t="s">
        <v>2165</v>
      </c>
    </row>
    <row r="886">
      <c r="L886" s="76" t="s">
        <v>2157</v>
      </c>
    </row>
    <row r="887">
      <c r="L887" s="76" t="s">
        <v>2245</v>
      </c>
    </row>
    <row r="888">
      <c r="L888" s="76" t="s">
        <v>2208</v>
      </c>
    </row>
    <row r="889">
      <c r="L889" s="76" t="s">
        <v>2256</v>
      </c>
    </row>
    <row r="890">
      <c r="L890" s="76" t="s">
        <v>2240</v>
      </c>
    </row>
    <row r="891">
      <c r="L891" s="76" t="s">
        <v>2261</v>
      </c>
    </row>
    <row r="892">
      <c r="L892" s="76" t="s">
        <v>2267</v>
      </c>
    </row>
    <row r="893">
      <c r="L893" s="76" t="s">
        <v>2297</v>
      </c>
    </row>
    <row r="894">
      <c r="L894" s="76" t="s">
        <v>2227</v>
      </c>
    </row>
    <row r="895">
      <c r="L895" s="76" t="s">
        <v>2221</v>
      </c>
    </row>
    <row r="896">
      <c r="L896" s="76" t="s">
        <v>2273</v>
      </c>
    </row>
    <row r="897">
      <c r="L897" s="76" t="s">
        <v>2302</v>
      </c>
    </row>
    <row r="898">
      <c r="L898" s="76" t="s">
        <v>2250</v>
      </c>
    </row>
    <row r="899">
      <c r="L899" s="76" t="s">
        <v>2214</v>
      </c>
    </row>
    <row r="900">
      <c r="L900" s="76" t="s">
        <v>2285</v>
      </c>
    </row>
    <row r="901">
      <c r="L901" s="76" t="s">
        <v>2234</v>
      </c>
    </row>
    <row r="902">
      <c r="L902" s="76" t="s">
        <v>2201</v>
      </c>
    </row>
    <row r="903">
      <c r="L903" s="76" t="s">
        <v>2279</v>
      </c>
    </row>
    <row r="904">
      <c r="L904" s="76" t="s">
        <v>2494</v>
      </c>
    </row>
    <row r="905">
      <c r="L905" s="76" t="s">
        <v>2488</v>
      </c>
    </row>
    <row r="906">
      <c r="L906" s="76" t="s">
        <v>2482</v>
      </c>
    </row>
    <row r="907">
      <c r="L907" s="76" t="s">
        <v>2476</v>
      </c>
    </row>
    <row r="908">
      <c r="L908" s="76" t="s">
        <v>2508</v>
      </c>
    </row>
    <row r="909">
      <c r="L909" s="76" t="s">
        <v>2502</v>
      </c>
    </row>
    <row r="910">
      <c r="L910" s="76" t="s">
        <v>2566</v>
      </c>
    </row>
    <row r="911">
      <c r="L911" s="76" t="s">
        <v>2573</v>
      </c>
    </row>
    <row r="912">
      <c r="L912" s="76" t="s">
        <v>2585</v>
      </c>
    </row>
    <row r="913">
      <c r="L913" s="76" t="s">
        <v>2579</v>
      </c>
    </row>
    <row r="914">
      <c r="L914" s="76" t="s">
        <v>2675</v>
      </c>
    </row>
    <row r="915">
      <c r="L915" s="76" t="s">
        <v>2669</v>
      </c>
    </row>
    <row r="916">
      <c r="L916" s="76" t="s">
        <v>2662</v>
      </c>
    </row>
    <row r="917">
      <c r="L917" s="76" t="s">
        <v>2820</v>
      </c>
    </row>
    <row r="918">
      <c r="L918" s="76" t="s">
        <v>2826</v>
      </c>
    </row>
    <row r="919">
      <c r="L919" s="76" t="s">
        <v>2814</v>
      </c>
    </row>
    <row r="920">
      <c r="L920" s="76" t="s">
        <v>2832</v>
      </c>
    </row>
    <row r="921">
      <c r="L921" s="76" t="s">
        <v>2851</v>
      </c>
    </row>
    <row r="922">
      <c r="L922" s="76" t="s">
        <v>485</v>
      </c>
    </row>
    <row r="923">
      <c r="L923" s="76" t="s">
        <v>2839</v>
      </c>
    </row>
    <row r="924">
      <c r="L924" s="76" t="s">
        <v>2857</v>
      </c>
    </row>
    <row r="925">
      <c r="L925" s="76" t="s">
        <v>2845</v>
      </c>
    </row>
    <row r="926">
      <c r="L926" s="76" t="s">
        <v>2995</v>
      </c>
    </row>
    <row r="927">
      <c r="L927" s="76" t="s">
        <v>5998</v>
      </c>
    </row>
    <row r="928">
      <c r="L928" s="76" t="s">
        <v>3036</v>
      </c>
    </row>
    <row r="929">
      <c r="L929" s="76" t="s">
        <v>3042</v>
      </c>
    </row>
    <row r="930">
      <c r="L930" s="76" t="s">
        <v>3054</v>
      </c>
    </row>
    <row r="931">
      <c r="L931" s="76" t="s">
        <v>3048</v>
      </c>
    </row>
    <row r="932">
      <c r="L932" s="76" t="s">
        <v>3096</v>
      </c>
    </row>
    <row r="933">
      <c r="L933" s="76" t="s">
        <v>3103</v>
      </c>
    </row>
    <row r="934">
      <c r="L934" s="76" t="s">
        <v>3109</v>
      </c>
    </row>
    <row r="935">
      <c r="L935" s="76" t="s">
        <v>3071</v>
      </c>
    </row>
    <row r="936">
      <c r="L936" s="76" t="s">
        <v>3063</v>
      </c>
    </row>
    <row r="937">
      <c r="L937" s="76" t="s">
        <v>3117</v>
      </c>
    </row>
    <row r="938">
      <c r="L938" s="76" t="s">
        <v>5999</v>
      </c>
    </row>
    <row r="939">
      <c r="L939" s="76" t="s">
        <v>3124</v>
      </c>
    </row>
    <row r="940">
      <c r="L940" s="76" t="s">
        <v>3321</v>
      </c>
    </row>
    <row r="941">
      <c r="L941" s="76" t="s">
        <v>3353</v>
      </c>
    </row>
    <row r="942">
      <c r="L942" s="76" t="s">
        <v>3335</v>
      </c>
    </row>
    <row r="943">
      <c r="L943" s="76" t="s">
        <v>3359</v>
      </c>
    </row>
    <row r="944">
      <c r="L944" s="76" t="s">
        <v>3329</v>
      </c>
    </row>
    <row r="945">
      <c r="L945" s="76" t="s">
        <v>3347</v>
      </c>
    </row>
    <row r="946">
      <c r="L946" s="76" t="s">
        <v>3341</v>
      </c>
    </row>
    <row r="947">
      <c r="L947" s="76" t="s">
        <v>3381</v>
      </c>
    </row>
    <row r="948">
      <c r="L948" s="76" t="s">
        <v>3368</v>
      </c>
    </row>
    <row r="949">
      <c r="L949" s="76" t="s">
        <v>3519</v>
      </c>
    </row>
    <row r="950">
      <c r="L950" s="76" t="s">
        <v>3515</v>
      </c>
    </row>
    <row r="951">
      <c r="L951" s="76" t="s">
        <v>6000</v>
      </c>
    </row>
    <row r="952">
      <c r="L952" s="76" t="s">
        <v>3511</v>
      </c>
    </row>
    <row r="953">
      <c r="L953" s="76" t="s">
        <v>3534</v>
      </c>
    </row>
    <row r="954">
      <c r="L954" s="76" t="s">
        <v>3525</v>
      </c>
    </row>
    <row r="955">
      <c r="L955" s="76" t="s">
        <v>3542</v>
      </c>
    </row>
    <row r="956">
      <c r="L956" s="76" t="s">
        <v>3548</v>
      </c>
    </row>
    <row r="957">
      <c r="L957" s="76" t="s">
        <v>3820</v>
      </c>
    </row>
    <row r="958">
      <c r="L958" s="76" t="s">
        <v>3814</v>
      </c>
    </row>
    <row r="959">
      <c r="L959" s="76" t="s">
        <v>3760</v>
      </c>
    </row>
    <row r="960">
      <c r="L960" s="76" t="s">
        <v>3745</v>
      </c>
    </row>
    <row r="961">
      <c r="L961" s="76" t="s">
        <v>3754</v>
      </c>
    </row>
    <row r="962">
      <c r="L962" s="76" t="s">
        <v>3737</v>
      </c>
    </row>
    <row r="963">
      <c r="L963" s="76" t="s">
        <v>3772</v>
      </c>
    </row>
    <row r="964">
      <c r="L964" s="76" t="s">
        <v>3802</v>
      </c>
    </row>
    <row r="965">
      <c r="L965" s="76" t="s">
        <v>3731</v>
      </c>
    </row>
    <row r="966">
      <c r="L966" s="76" t="s">
        <v>3832</v>
      </c>
    </row>
    <row r="967">
      <c r="L967" s="76" t="s">
        <v>3790</v>
      </c>
    </row>
    <row r="968">
      <c r="L968" s="76" t="s">
        <v>3808</v>
      </c>
    </row>
    <row r="969">
      <c r="L969" s="76" t="s">
        <v>3778</v>
      </c>
    </row>
    <row r="970">
      <c r="L970" s="76" t="s">
        <v>3784</v>
      </c>
    </row>
    <row r="971">
      <c r="L971" s="76" t="s">
        <v>3796</v>
      </c>
    </row>
    <row r="972">
      <c r="L972" s="76" t="s">
        <v>3826</v>
      </c>
    </row>
    <row r="973">
      <c r="L973" s="76" t="s">
        <v>3766</v>
      </c>
    </row>
    <row r="974">
      <c r="L974" s="76" t="s">
        <v>3858</v>
      </c>
    </row>
    <row r="975">
      <c r="L975" s="76" t="s">
        <v>3852</v>
      </c>
    </row>
    <row r="976">
      <c r="L976" s="76" t="s">
        <v>3846</v>
      </c>
    </row>
    <row r="977">
      <c r="L977" s="76" t="s">
        <v>3877</v>
      </c>
    </row>
    <row r="978">
      <c r="L978" s="76" t="s">
        <v>3892</v>
      </c>
    </row>
    <row r="979">
      <c r="L979" s="76" t="s">
        <v>3866</v>
      </c>
    </row>
    <row r="980">
      <c r="L980" s="76" t="s">
        <v>3882</v>
      </c>
    </row>
    <row r="981">
      <c r="L981" s="76" t="s">
        <v>3872</v>
      </c>
    </row>
    <row r="982">
      <c r="L982" s="76" t="s">
        <v>3887</v>
      </c>
    </row>
    <row r="983">
      <c r="L983" s="76" t="s">
        <v>3947</v>
      </c>
    </row>
    <row r="984">
      <c r="L984" s="76" t="s">
        <v>3942</v>
      </c>
    </row>
    <row r="985">
      <c r="L985" s="76" t="s">
        <v>4044</v>
      </c>
    </row>
    <row r="986">
      <c r="L986" s="76" t="s">
        <v>4052</v>
      </c>
    </row>
    <row r="987">
      <c r="L987" s="76" t="s">
        <v>4067</v>
      </c>
    </row>
    <row r="988">
      <c r="L988" s="76" t="s">
        <v>4061</v>
      </c>
    </row>
    <row r="989">
      <c r="L989" s="76" t="s">
        <v>4091</v>
      </c>
    </row>
    <row r="990">
      <c r="L990" s="76" t="s">
        <v>4073</v>
      </c>
    </row>
    <row r="991">
      <c r="L991" s="76" t="s">
        <v>4097</v>
      </c>
    </row>
    <row r="992">
      <c r="L992" s="76" t="s">
        <v>4103</v>
      </c>
    </row>
    <row r="993">
      <c r="L993" s="76" t="s">
        <v>4085</v>
      </c>
    </row>
    <row r="994">
      <c r="L994" s="76" t="s">
        <v>4079</v>
      </c>
    </row>
    <row r="995">
      <c r="L995" s="76" t="s">
        <v>4210</v>
      </c>
    </row>
    <row r="996">
      <c r="L996" s="76" t="s">
        <v>4177</v>
      </c>
    </row>
    <row r="997">
      <c r="L997" s="76" t="s">
        <v>4111</v>
      </c>
    </row>
    <row r="998">
      <c r="L998" s="76" t="s">
        <v>4252</v>
      </c>
    </row>
    <row r="999">
      <c r="L999" s="76" t="s">
        <v>4216</v>
      </c>
    </row>
    <row r="1000">
      <c r="L1000" s="76" t="s">
        <v>4222</v>
      </c>
    </row>
    <row r="1001">
      <c r="L1001" s="76" t="s">
        <v>4155</v>
      </c>
    </row>
    <row r="1002">
      <c r="L1002" s="76" t="s">
        <v>4159</v>
      </c>
    </row>
    <row r="1003">
      <c r="L1003" s="76" t="s">
        <v>4234</v>
      </c>
    </row>
    <row r="1004">
      <c r="L1004" s="76" t="s">
        <v>4165</v>
      </c>
    </row>
    <row r="1005">
      <c r="L1005" s="76" t="s">
        <v>4171</v>
      </c>
    </row>
    <row r="1006">
      <c r="L1006" s="76" t="s">
        <v>4149</v>
      </c>
    </row>
    <row r="1007">
      <c r="L1007" s="76" t="s">
        <v>4135</v>
      </c>
    </row>
    <row r="1008">
      <c r="L1008" s="76" t="s">
        <v>4204</v>
      </c>
    </row>
    <row r="1009">
      <c r="L1009" s="76" t="s">
        <v>4183</v>
      </c>
    </row>
    <row r="1010">
      <c r="L1010" s="76" t="s">
        <v>4143</v>
      </c>
    </row>
    <row r="1011">
      <c r="L1011" s="76" t="s">
        <v>4129</v>
      </c>
    </row>
    <row r="1012">
      <c r="L1012" s="76" t="s">
        <v>4123</v>
      </c>
    </row>
    <row r="1013">
      <c r="L1013" s="76" t="s">
        <v>4198</v>
      </c>
    </row>
    <row r="1014">
      <c r="L1014" s="76" t="s">
        <v>4191</v>
      </c>
    </row>
    <row r="1015">
      <c r="L1015" s="76" t="s">
        <v>4228</v>
      </c>
    </row>
    <row r="1016">
      <c r="L1016" s="76" t="s">
        <v>4246</v>
      </c>
    </row>
    <row r="1017">
      <c r="L1017" s="76" t="s">
        <v>4117</v>
      </c>
    </row>
    <row r="1018">
      <c r="L1018" s="76" t="s">
        <v>4240</v>
      </c>
    </row>
    <row r="1019">
      <c r="L1019" s="76" t="s">
        <v>4260</v>
      </c>
    </row>
    <row r="1020">
      <c r="L1020" s="76" t="s">
        <v>4316</v>
      </c>
    </row>
    <row r="1021">
      <c r="L1021" s="76" t="s">
        <v>4342</v>
      </c>
    </row>
    <row r="1022">
      <c r="L1022" s="76" t="s">
        <v>4357</v>
      </c>
    </row>
    <row r="1023">
      <c r="L1023" s="76" t="s">
        <v>4352</v>
      </c>
    </row>
    <row r="1024">
      <c r="L1024" s="76" t="s">
        <v>4362</v>
      </c>
    </row>
    <row r="1025">
      <c r="L1025" s="76" t="s">
        <v>4347</v>
      </c>
    </row>
    <row r="1026">
      <c r="L1026" s="76" t="s">
        <v>4372</v>
      </c>
    </row>
    <row r="1027">
      <c r="L1027" s="76" t="s">
        <v>4367</v>
      </c>
    </row>
    <row r="1028">
      <c r="L1028" s="76" t="s">
        <v>4377</v>
      </c>
    </row>
    <row r="1029">
      <c r="L1029" s="76" t="s">
        <v>4385</v>
      </c>
    </row>
    <row r="1030">
      <c r="L1030" s="76" t="s">
        <v>4393</v>
      </c>
    </row>
    <row r="1031">
      <c r="L1031" s="76" t="s">
        <v>4423</v>
      </c>
    </row>
    <row r="1032">
      <c r="L1032" s="76" t="s">
        <v>4435</v>
      </c>
    </row>
    <row r="1033">
      <c r="L1033" s="76" t="s">
        <v>4429</v>
      </c>
    </row>
    <row r="1034">
      <c r="L1034" s="76" t="s">
        <v>4441</v>
      </c>
    </row>
    <row r="1035">
      <c r="L1035" s="76" t="s">
        <v>3090</v>
      </c>
    </row>
    <row r="1036">
      <c r="L1036" s="76" t="s">
        <v>3077</v>
      </c>
    </row>
    <row r="1037">
      <c r="L1037" s="76" t="s">
        <v>3084</v>
      </c>
    </row>
    <row r="1038">
      <c r="L1038" s="76" t="s">
        <v>4457</v>
      </c>
    </row>
    <row r="1039">
      <c r="L1039" s="76" t="s">
        <v>4469</v>
      </c>
    </row>
    <row r="1040">
      <c r="L1040" s="76" t="s">
        <v>4463</v>
      </c>
    </row>
    <row r="1041">
      <c r="L1041" s="76" t="s">
        <v>4475</v>
      </c>
    </row>
    <row r="1042">
      <c r="L1042" s="76" t="s">
        <v>4449</v>
      </c>
    </row>
    <row r="1043">
      <c r="L1043" s="76" t="s">
        <v>4482</v>
      </c>
    </row>
    <row r="1044">
      <c r="L1044" s="76" t="s">
        <v>4500</v>
      </c>
    </row>
    <row r="1045">
      <c r="L1045" s="76" t="s">
        <v>4495</v>
      </c>
    </row>
    <row r="1046">
      <c r="L1046" s="76" t="s">
        <v>4490</v>
      </c>
    </row>
    <row r="1047">
      <c r="L1047" s="76" t="s">
        <v>4507</v>
      </c>
    </row>
    <row r="1048">
      <c r="L1048" s="76" t="s">
        <v>4521</v>
      </c>
    </row>
    <row r="1049">
      <c r="L1049" s="76" t="s">
        <v>4608</v>
      </c>
    </row>
    <row r="1050">
      <c r="L1050" s="76" t="s">
        <v>4586</v>
      </c>
    </row>
    <row r="1051">
      <c r="L1051" s="76" t="s">
        <v>4603</v>
      </c>
    </row>
    <row r="1052">
      <c r="L1052" s="76" t="s">
        <v>4581</v>
      </c>
    </row>
    <row r="1053">
      <c r="L1053" s="76" t="s">
        <v>4565</v>
      </c>
    </row>
    <row r="1054">
      <c r="L1054" s="76" t="s">
        <v>4570</v>
      </c>
    </row>
    <row r="1055">
      <c r="L1055" s="76" t="s">
        <v>4597</v>
      </c>
    </row>
    <row r="1056">
      <c r="L1056" s="76" t="s">
        <v>4619</v>
      </c>
    </row>
    <row r="1057">
      <c r="L1057" s="76" t="s">
        <v>4637</v>
      </c>
    </row>
    <row r="1058">
      <c r="L1058" s="76" t="s">
        <v>4643</v>
      </c>
    </row>
    <row r="1059">
      <c r="L1059" s="76" t="s">
        <v>4613</v>
      </c>
    </row>
    <row r="1060">
      <c r="L1060" s="76" t="s">
        <v>4625</v>
      </c>
    </row>
    <row r="1061">
      <c r="L1061" s="76" t="s">
        <v>4631</v>
      </c>
    </row>
    <row r="1062">
      <c r="L1062" s="76" t="s">
        <v>4663</v>
      </c>
    </row>
    <row r="1063">
      <c r="L1063" s="76" t="s">
        <v>4669</v>
      </c>
    </row>
    <row r="1064">
      <c r="L1064" s="76" t="s">
        <v>4696</v>
      </c>
    </row>
    <row r="1065">
      <c r="L1065" s="76" t="s">
        <v>4689</v>
      </c>
    </row>
    <row r="1066">
      <c r="L1066" s="76" t="s">
        <v>4683</v>
      </c>
    </row>
    <row r="1067">
      <c r="L1067" s="76" t="s">
        <v>4789</v>
      </c>
    </row>
    <row r="1068">
      <c r="L1068" s="76" t="s">
        <v>4783</v>
      </c>
    </row>
    <row r="1069">
      <c r="L1069" s="76" t="s">
        <v>4877</v>
      </c>
    </row>
    <row r="1070">
      <c r="L1070" s="76" t="s">
        <v>4919</v>
      </c>
    </row>
    <row r="1071">
      <c r="L1071" s="76" t="s">
        <v>4913</v>
      </c>
    </row>
    <row r="1072">
      <c r="L1072" s="76" t="s">
        <v>4933</v>
      </c>
    </row>
    <row r="1073">
      <c r="L1073" s="76" t="s">
        <v>4926</v>
      </c>
    </row>
    <row r="1074">
      <c r="L1074" s="76" t="s">
        <v>4951</v>
      </c>
    </row>
    <row r="1075">
      <c r="L1075" s="76" t="s">
        <v>4945</v>
      </c>
    </row>
    <row r="1076">
      <c r="L1076" s="76" t="s">
        <v>3028</v>
      </c>
    </row>
    <row r="1077">
      <c r="L1077" s="76" t="s">
        <v>923</v>
      </c>
    </row>
    <row r="1078">
      <c r="L1078" s="76" t="s">
        <v>917</v>
      </c>
    </row>
    <row r="1079">
      <c r="L1079" s="76" t="s">
        <v>1895</v>
      </c>
    </row>
    <row r="1080">
      <c r="L1080" s="76" t="s">
        <v>1889</v>
      </c>
    </row>
    <row r="1081">
      <c r="L1081" s="76" t="s">
        <v>1901</v>
      </c>
    </row>
    <row r="1082">
      <c r="L1082" s="76" t="s">
        <v>2755</v>
      </c>
    </row>
    <row r="1083">
      <c r="L1083" s="76" t="s">
        <v>2747</v>
      </c>
    </row>
    <row r="1084">
      <c r="L1084" s="76" t="s">
        <v>2770</v>
      </c>
    </row>
    <row r="1085">
      <c r="L1085" s="76" t="s">
        <v>2764</v>
      </c>
    </row>
    <row r="1086">
      <c r="L1086" s="76" t="s">
        <v>1010</v>
      </c>
    </row>
    <row r="1087">
      <c r="L1087" s="76" t="s">
        <v>1035</v>
      </c>
    </row>
    <row r="1088">
      <c r="L1088" s="76" t="s">
        <v>1085</v>
      </c>
    </row>
    <row r="1089">
      <c r="L1089" s="76" t="s">
        <v>1051</v>
      </c>
    </row>
    <row r="1090">
      <c r="L1090" s="76" t="s">
        <v>1029</v>
      </c>
    </row>
    <row r="1091">
      <c r="L1091" s="76" t="s">
        <v>4996</v>
      </c>
    </row>
    <row r="1092">
      <c r="L1092" s="76" t="s">
        <v>5002</v>
      </c>
    </row>
    <row r="1093">
      <c r="L1093" s="76" t="s">
        <v>4990</v>
      </c>
    </row>
    <row r="1094">
      <c r="L1094" s="76" t="s">
        <v>5014</v>
      </c>
    </row>
    <row r="1095">
      <c r="L1095" s="76" t="s">
        <v>5008</v>
      </c>
    </row>
    <row r="1096">
      <c r="L1096" s="76" t="s">
        <v>1152</v>
      </c>
    </row>
    <row r="1097">
      <c r="L1097" s="76" t="s">
        <v>1145</v>
      </c>
    </row>
    <row r="1098">
      <c r="L1098" s="76" t="s">
        <v>6001</v>
      </c>
    </row>
    <row r="1099">
      <c r="L1099" s="76" t="s">
        <v>6002</v>
      </c>
    </row>
    <row r="1100">
      <c r="L1100" s="76" t="s">
        <v>5026</v>
      </c>
    </row>
    <row r="1101">
      <c r="L1101" s="76" t="s">
        <v>5020</v>
      </c>
    </row>
    <row r="1102">
      <c r="L1102" s="76" t="s">
        <v>4983</v>
      </c>
    </row>
    <row r="1103">
      <c r="L1103" s="76" t="s">
        <v>4976</v>
      </c>
    </row>
    <row r="1104">
      <c r="L1104" s="76" t="s">
        <v>1071</v>
      </c>
    </row>
    <row r="1105">
      <c r="L1105" s="76" t="s">
        <v>1057</v>
      </c>
    </row>
    <row r="1106">
      <c r="L1106" s="76" t="s">
        <v>1020</v>
      </c>
    </row>
    <row r="1107">
      <c r="L1107" s="76" t="s">
        <v>1760</v>
      </c>
    </row>
    <row r="1108">
      <c r="L1108" s="76" t="s">
        <v>5065</v>
      </c>
    </row>
    <row r="1109">
      <c r="L1109" s="76" t="s">
        <v>5083</v>
      </c>
    </row>
    <row r="1110">
      <c r="L1110" s="76" t="s">
        <v>5089</v>
      </c>
    </row>
    <row r="1111">
      <c r="L1111" s="76" t="s">
        <v>5077</v>
      </c>
    </row>
    <row r="1112">
      <c r="L1112" s="76" t="s">
        <v>5071</v>
      </c>
    </row>
    <row r="1113">
      <c r="L1113" s="76" t="s">
        <v>4749</v>
      </c>
    </row>
    <row r="1114">
      <c r="L1114" s="76" t="s">
        <v>4755</v>
      </c>
    </row>
    <row r="1115">
      <c r="L1115" s="76" t="s">
        <v>4761</v>
      </c>
    </row>
    <row r="1116">
      <c r="L1116" s="76" t="s">
        <v>4963</v>
      </c>
    </row>
    <row r="1117">
      <c r="L1117" s="76" t="s">
        <v>3922</v>
      </c>
    </row>
    <row r="1118">
      <c r="L1118" s="76" t="s">
        <v>3910</v>
      </c>
    </row>
    <row r="1119">
      <c r="L1119" s="76" t="s">
        <v>3916</v>
      </c>
    </row>
    <row r="1120">
      <c r="L1120" s="76" t="s">
        <v>1077</v>
      </c>
    </row>
    <row r="1121">
      <c r="L1121" s="76" t="s">
        <v>3904</v>
      </c>
    </row>
    <row r="1122">
      <c r="L1122" s="76" t="s">
        <v>3928</v>
      </c>
    </row>
    <row r="1123">
      <c r="L1123" s="76" t="s">
        <v>3934</v>
      </c>
    </row>
    <row r="1124">
      <c r="L1124" s="76" t="s">
        <v>3898</v>
      </c>
    </row>
    <row r="1125">
      <c r="L1125" s="76" t="s">
        <v>1668</v>
      </c>
    </row>
    <row r="1126">
      <c r="L1126" s="76" t="s">
        <v>1675</v>
      </c>
    </row>
    <row r="1127">
      <c r="L1127" s="76" t="s">
        <v>1707</v>
      </c>
    </row>
    <row r="1128">
      <c r="L1128" s="76" t="s">
        <v>1713</v>
      </c>
    </row>
    <row r="1129">
      <c r="L1129" s="76" t="s">
        <v>1720</v>
      </c>
    </row>
    <row r="1130">
      <c r="L1130" s="76" t="s">
        <v>1726</v>
      </c>
    </row>
    <row r="1131">
      <c r="L1131" s="76" t="s">
        <v>1043</v>
      </c>
    </row>
    <row r="1132">
      <c r="L1132" s="76" t="s">
        <v>1064</v>
      </c>
    </row>
    <row r="1133">
      <c r="L1133" s="76" t="s">
        <v>5033</v>
      </c>
    </row>
    <row r="1134">
      <c r="L1134" s="76" t="s">
        <v>5039</v>
      </c>
    </row>
    <row r="1135">
      <c r="L1135" s="76" t="s">
        <v>4302</v>
      </c>
    </row>
    <row r="1136">
      <c r="L1136" s="76" t="s">
        <v>4308</v>
      </c>
    </row>
    <row r="1137">
      <c r="L1137" s="76" t="s">
        <v>100</v>
      </c>
    </row>
    <row r="1138">
      <c r="L1138" s="76" t="s">
        <v>92</v>
      </c>
    </row>
    <row r="1139">
      <c r="L1139" s="76" t="s">
        <v>4008</v>
      </c>
    </row>
    <row r="1140">
      <c r="L1140" s="76" t="s">
        <v>551</v>
      </c>
    </row>
    <row r="1141">
      <c r="L1141" s="76" t="s">
        <v>1782</v>
      </c>
    </row>
    <row r="1142">
      <c r="L1142" s="76" t="s">
        <v>1659</v>
      </c>
    </row>
    <row r="1143">
      <c r="L1143" s="76" t="s">
        <v>974</v>
      </c>
    </row>
    <row r="1144">
      <c r="L1144" s="76" t="s">
        <v>1332</v>
      </c>
    </row>
    <row r="1145">
      <c r="L1145" s="76" t="s">
        <v>4278</v>
      </c>
    </row>
    <row r="1146">
      <c r="L1146" s="76" t="s">
        <v>4883</v>
      </c>
    </row>
    <row r="1147">
      <c r="L1147" s="76" t="s">
        <v>932</v>
      </c>
    </row>
    <row r="1148">
      <c r="L1148" s="76" t="s">
        <v>943</v>
      </c>
    </row>
    <row r="1149">
      <c r="L1149" s="76" t="s">
        <v>2986</v>
      </c>
    </row>
    <row r="1150">
      <c r="L1150" s="76" t="s">
        <v>2972</v>
      </c>
    </row>
    <row r="1151">
      <c r="L1151" s="76" t="s">
        <v>2980</v>
      </c>
    </row>
    <row r="1152">
      <c r="L1152" s="76" t="s">
        <v>4548</v>
      </c>
    </row>
    <row r="1153">
      <c r="L1153" s="76" t="s">
        <v>4539</v>
      </c>
    </row>
    <row r="1154">
      <c r="L1154" s="76" t="s">
        <v>3484</v>
      </c>
    </row>
    <row r="1155">
      <c r="L1155" s="76" t="s">
        <v>3469</v>
      </c>
    </row>
    <row r="1156">
      <c r="L1156" s="76" t="s">
        <v>3490</v>
      </c>
    </row>
    <row r="1157">
      <c r="L1157" s="76" t="s">
        <v>3502</v>
      </c>
    </row>
    <row r="1158">
      <c r="L1158" s="76" t="s">
        <v>3496</v>
      </c>
    </row>
    <row r="1159">
      <c r="L1159" s="76" t="s">
        <v>3477</v>
      </c>
    </row>
    <row r="1160">
      <c r="L1160" s="76" t="s">
        <v>2310</v>
      </c>
    </row>
    <row r="1161">
      <c r="L1161" s="76" t="s">
        <v>1506</v>
      </c>
    </row>
    <row r="1162">
      <c r="L1162" s="76" t="s">
        <v>2799</v>
      </c>
    </row>
    <row r="1163">
      <c r="L1163" s="76" t="s">
        <v>2784</v>
      </c>
    </row>
    <row r="1164">
      <c r="L1164" s="76" t="s">
        <v>906</v>
      </c>
    </row>
    <row r="1165">
      <c r="L1165" s="76" t="s">
        <v>2806</v>
      </c>
    </row>
    <row r="1166">
      <c r="L1166" s="76" t="s">
        <v>2792</v>
      </c>
    </row>
    <row r="1167">
      <c r="L1167" s="76" t="s">
        <v>2777</v>
      </c>
    </row>
    <row r="1168">
      <c r="L1168" s="76" t="s">
        <v>70</v>
      </c>
    </row>
    <row r="1169">
      <c r="L1169" s="76" t="s">
        <v>78</v>
      </c>
    </row>
    <row r="1170">
      <c r="L1170" s="76" t="s">
        <v>84</v>
      </c>
    </row>
    <row r="1171">
      <c r="L1171" s="76" t="s">
        <v>61</v>
      </c>
    </row>
    <row r="1172">
      <c r="L1172" s="76" t="s">
        <v>5058</v>
      </c>
    </row>
    <row r="1173">
      <c r="L1173" s="76" t="s">
        <v>5046</v>
      </c>
    </row>
    <row r="1174">
      <c r="L1174" s="76" t="s">
        <v>5052</v>
      </c>
    </row>
    <row r="1175">
      <c r="L1175" s="76" t="s">
        <v>708</v>
      </c>
    </row>
    <row r="1176">
      <c r="L1176" s="76" t="s">
        <v>699</v>
      </c>
    </row>
    <row r="1177">
      <c r="L1177" s="76" t="s">
        <v>3988</v>
      </c>
    </row>
    <row r="1178">
      <c r="L1178" s="76" t="s">
        <v>3994</v>
      </c>
    </row>
    <row r="1179">
      <c r="L1179" s="76" t="s">
        <v>4000</v>
      </c>
    </row>
    <row r="1180">
      <c r="L1180" s="76" t="s">
        <v>3982</v>
      </c>
    </row>
    <row r="1181">
      <c r="L1181" s="76" t="s">
        <v>3956</v>
      </c>
    </row>
    <row r="1182">
      <c r="L1182" s="76" t="s">
        <v>3963</v>
      </c>
    </row>
    <row r="1183">
      <c r="L1183" s="76" t="s">
        <v>3976</v>
      </c>
    </row>
    <row r="1184">
      <c r="L1184" s="76" t="s">
        <v>2371</v>
      </c>
    </row>
    <row r="1185">
      <c r="L1185" s="76" t="s">
        <v>2452</v>
      </c>
    </row>
    <row r="1186">
      <c r="L1186" s="76" t="s">
        <v>2439</v>
      </c>
    </row>
    <row r="1187">
      <c r="L1187" s="76" t="s">
        <v>2396</v>
      </c>
    </row>
    <row r="1188">
      <c r="L1188" s="76" t="s">
        <v>2384</v>
      </c>
    </row>
    <row r="1189">
      <c r="L1189" s="76" t="s">
        <v>2402</v>
      </c>
    </row>
    <row r="1190">
      <c r="L1190" s="76" t="s">
        <v>2363</v>
      </c>
    </row>
    <row r="1191">
      <c r="L1191" s="76" t="s">
        <v>3228</v>
      </c>
    </row>
    <row r="1192">
      <c r="L1192" s="76" t="s">
        <v>3216</v>
      </c>
    </row>
    <row r="1193">
      <c r="L1193" s="76" t="s">
        <v>3210</v>
      </c>
    </row>
    <row r="1194">
      <c r="L1194" s="76" t="s">
        <v>3186</v>
      </c>
    </row>
    <row r="1195">
      <c r="L1195" s="76" t="s">
        <v>5990</v>
      </c>
    </row>
    <row r="1196">
      <c r="L1196" s="76" t="s">
        <v>6003</v>
      </c>
    </row>
    <row r="1197">
      <c r="L1197" s="76" t="s">
        <v>4767</v>
      </c>
    </row>
    <row r="1198">
      <c r="L1198" s="76" t="s">
        <v>3404</v>
      </c>
    </row>
    <row r="1199">
      <c r="L1199" s="76" t="s">
        <v>3248</v>
      </c>
    </row>
    <row r="1200">
      <c r="L1200" s="76" t="s">
        <v>2427</v>
      </c>
    </row>
    <row r="1201">
      <c r="L1201" s="76" t="s">
        <v>2433</v>
      </c>
    </row>
    <row r="1202">
      <c r="L1202" s="76" t="s">
        <v>3174</v>
      </c>
    </row>
    <row r="1203">
      <c r="L1203" s="76" t="s">
        <v>3180</v>
      </c>
    </row>
    <row r="1204">
      <c r="L1204" s="76" t="s">
        <v>208</v>
      </c>
    </row>
    <row r="1205">
      <c r="L1205" s="76" t="s">
        <v>184</v>
      </c>
    </row>
    <row r="1206">
      <c r="L1206" s="76" t="s">
        <v>215</v>
      </c>
    </row>
    <row r="1207">
      <c r="L1207" s="76" t="s">
        <v>2408</v>
      </c>
    </row>
    <row r="1208">
      <c r="L1208" s="76" t="s">
        <v>2415</v>
      </c>
    </row>
    <row r="1209">
      <c r="L1209" s="76" t="s">
        <v>2421</v>
      </c>
    </row>
    <row r="1210">
      <c r="L1210" s="76" t="s">
        <v>2458</v>
      </c>
    </row>
    <row r="1211">
      <c r="L1211" s="76" t="s">
        <v>4851</v>
      </c>
    </row>
    <row r="1212">
      <c r="L1212" s="76" t="s">
        <v>4857</v>
      </c>
    </row>
    <row r="1213">
      <c r="L1213" s="76" t="s">
        <v>4742</v>
      </c>
    </row>
    <row r="1214">
      <c r="L1214" s="76" t="s">
        <v>4735</v>
      </c>
    </row>
    <row r="1215">
      <c r="L1215" s="76" t="s">
        <v>3222</v>
      </c>
    </row>
    <row r="1216">
      <c r="L1216" s="76" t="s">
        <v>3204</v>
      </c>
    </row>
    <row r="1217">
      <c r="L1217" s="76" t="s">
        <v>202</v>
      </c>
    </row>
    <row r="1218">
      <c r="L1218" s="76" t="s">
        <v>225</v>
      </c>
    </row>
    <row r="1219">
      <c r="L1219" s="76" t="s">
        <v>3260</v>
      </c>
    </row>
    <row r="1220">
      <c r="L1220" s="76" t="s">
        <v>2653</v>
      </c>
    </row>
    <row r="1221">
      <c r="L1221" s="76" t="s">
        <v>2707</v>
      </c>
    </row>
    <row r="1222">
      <c r="L1222" s="76" t="s">
        <v>2701</v>
      </c>
    </row>
    <row r="1223">
      <c r="L1223" s="76" t="s">
        <v>2738</v>
      </c>
    </row>
    <row r="1224">
      <c r="L1224" s="76" t="s">
        <v>4814</v>
      </c>
    </row>
    <row r="1225">
      <c r="L1225" s="76" t="s">
        <v>2466</v>
      </c>
    </row>
    <row r="1226">
      <c r="L1226" s="76" t="s">
        <v>3451</v>
      </c>
    </row>
    <row r="1227">
      <c r="L1227" s="76" t="s">
        <v>3254</v>
      </c>
    </row>
    <row r="1228">
      <c r="L1228" s="76" t="s">
        <v>3236</v>
      </c>
    </row>
    <row r="1229">
      <c r="L1229" s="76" t="s">
        <v>3242</v>
      </c>
    </row>
    <row r="1230">
      <c r="L1230" s="76" t="s">
        <v>3443</v>
      </c>
    </row>
    <row r="1231">
      <c r="L1231" s="76" t="s">
        <v>1202</v>
      </c>
    </row>
    <row r="1232">
      <c r="L1232" s="76" t="s">
        <v>1213</v>
      </c>
    </row>
    <row r="1233">
      <c r="L1233" s="76" t="s">
        <v>1193</v>
      </c>
    </row>
    <row r="1234">
      <c r="L1234" s="76" t="s">
        <v>6004</v>
      </c>
    </row>
    <row r="1235">
      <c r="L1235" s="76" t="s">
        <v>3459</v>
      </c>
    </row>
    <row r="1236">
      <c r="L1236" s="76" t="s">
        <v>2149</v>
      </c>
    </row>
    <row r="1237">
      <c r="L1237" s="76" t="s">
        <v>1449</v>
      </c>
    </row>
    <row r="1238">
      <c r="L1238" s="76" t="s">
        <v>2885</v>
      </c>
    </row>
    <row r="1239">
      <c r="L1239" s="76" t="s">
        <v>2922</v>
      </c>
    </row>
    <row r="1240">
      <c r="L1240" s="76" t="s">
        <v>2904</v>
      </c>
    </row>
    <row r="1241">
      <c r="L1241" s="76" t="s">
        <v>4871</v>
      </c>
    </row>
    <row r="1242">
      <c r="L1242" s="76" t="s">
        <v>1462</v>
      </c>
    </row>
    <row r="1243">
      <c r="L1243" s="76" t="s">
        <v>3143</v>
      </c>
    </row>
    <row r="1244">
      <c r="L1244" s="76" t="s">
        <v>1456</v>
      </c>
    </row>
    <row r="1245">
      <c r="L1245" s="76" t="s">
        <v>2916</v>
      </c>
    </row>
    <row r="1246">
      <c r="L1246" s="76" t="s">
        <v>2898</v>
      </c>
    </row>
    <row r="1247">
      <c r="L1247" s="76" t="s">
        <v>2910</v>
      </c>
    </row>
    <row r="1248">
      <c r="L1248" s="76" t="s">
        <v>4402</v>
      </c>
    </row>
    <row r="1249">
      <c r="L1249" s="76" t="s">
        <v>1497</v>
      </c>
    </row>
    <row r="1250">
      <c r="L1250" s="76" t="s">
        <v>1483</v>
      </c>
    </row>
    <row r="1251">
      <c r="L1251" s="76" t="s">
        <v>1476</v>
      </c>
    </row>
    <row r="1252">
      <c r="L1252" s="76" t="s">
        <v>1491</v>
      </c>
    </row>
    <row r="1253">
      <c r="L1253" s="76" t="s">
        <v>4845</v>
      </c>
    </row>
    <row r="1254">
      <c r="L1254" s="76" t="s">
        <v>4838</v>
      </c>
    </row>
    <row r="1255">
      <c r="L1255" s="76" t="s">
        <v>2684</v>
      </c>
    </row>
    <row r="1256">
      <c r="L1256" s="76" t="s">
        <v>2693</v>
      </c>
    </row>
    <row r="1257">
      <c r="L1257" s="76" t="s">
        <v>6005</v>
      </c>
    </row>
    <row r="1258">
      <c r="L1258" s="76" t="s">
        <v>6006</v>
      </c>
    </row>
    <row r="1259">
      <c r="L1259" s="76" t="s">
        <v>679</v>
      </c>
    </row>
    <row r="1260">
      <c r="L1260" s="76" t="s">
        <v>6007</v>
      </c>
    </row>
    <row r="1261">
      <c r="L1261" s="76" t="s">
        <v>685</v>
      </c>
    </row>
    <row r="1262">
      <c r="L1262" s="76" t="s">
        <v>691</v>
      </c>
    </row>
    <row r="1263">
      <c r="L1263" s="76" t="s">
        <v>661</v>
      </c>
    </row>
    <row r="1264">
      <c r="L1264" s="76" t="s">
        <v>633</v>
      </c>
    </row>
    <row r="1265">
      <c r="L1265" s="76" t="s">
        <v>640</v>
      </c>
    </row>
    <row r="1266">
      <c r="L1266" s="76" t="s">
        <v>2713</v>
      </c>
    </row>
    <row r="1267">
      <c r="L1267" s="76" t="s">
        <v>2732</v>
      </c>
    </row>
    <row r="1268">
      <c r="L1268" s="76" t="s">
        <v>2725</v>
      </c>
    </row>
    <row r="1269">
      <c r="L1269" s="76" t="s">
        <v>667</v>
      </c>
    </row>
    <row r="1270">
      <c r="L1270" s="76" t="s">
        <v>741</v>
      </c>
    </row>
    <row r="1271">
      <c r="L1271" s="76" t="s">
        <v>728</v>
      </c>
    </row>
    <row r="1272">
      <c r="L1272" s="76" t="s">
        <v>735</v>
      </c>
    </row>
    <row r="1273">
      <c r="L1273" s="76" t="s">
        <v>760</v>
      </c>
    </row>
    <row r="1274">
      <c r="L1274" s="76" t="s">
        <v>747</v>
      </c>
    </row>
    <row r="1275">
      <c r="L1275" s="76" t="s">
        <v>3129</v>
      </c>
    </row>
    <row r="1276">
      <c r="L1276" s="76" t="s">
        <v>2074</v>
      </c>
    </row>
    <row r="1277">
      <c r="L1277" s="76" t="s">
        <v>3135</v>
      </c>
    </row>
    <row r="1278">
      <c r="L1278" s="76" t="s">
        <v>2145</v>
      </c>
    </row>
    <row r="1279">
      <c r="L1279" s="76" t="s">
        <v>4333</v>
      </c>
    </row>
    <row r="1280">
      <c r="L1280" s="76" t="s">
        <v>3012</v>
      </c>
    </row>
    <row r="1281">
      <c r="L1281" s="76" t="s">
        <v>4415</v>
      </c>
    </row>
    <row r="1282">
      <c r="L1282" s="76" t="s">
        <v>4408</v>
      </c>
    </row>
    <row r="1283">
      <c r="L1283" s="76" t="s">
        <v>3163</v>
      </c>
    </row>
    <row r="1284">
      <c r="L1284" s="76" t="s">
        <v>591</v>
      </c>
    </row>
    <row r="1285">
      <c r="L1285" s="76" t="s">
        <v>2139</v>
      </c>
    </row>
    <row r="1286">
      <c r="L1286" s="76" t="s">
        <v>2125</v>
      </c>
    </row>
    <row r="1287">
      <c r="L1287" s="76" t="s">
        <v>2133</v>
      </c>
    </row>
    <row r="1288">
      <c r="L1288" s="76" t="s">
        <v>2526</v>
      </c>
    </row>
    <row r="1289">
      <c r="L1289" s="76" t="s">
        <v>2532</v>
      </c>
    </row>
    <row r="1290">
      <c r="L1290" s="76" t="s">
        <v>2544</v>
      </c>
    </row>
    <row r="1291">
      <c r="L1291" s="76" t="s">
        <v>2538</v>
      </c>
    </row>
    <row r="1292">
      <c r="L1292" s="76" t="s">
        <v>2517</v>
      </c>
    </row>
    <row r="1293">
      <c r="L1293" s="76" t="s">
        <v>2550</v>
      </c>
    </row>
    <row r="1294">
      <c r="L1294" s="76" t="s">
        <v>2952</v>
      </c>
    </row>
    <row r="1295">
      <c r="L1295" s="76" t="s">
        <v>2945</v>
      </c>
    </row>
    <row r="1296">
      <c r="L1296" s="76" t="s">
        <v>2939</v>
      </c>
    </row>
    <row r="1297">
      <c r="L1297" s="76" t="s">
        <v>2964</v>
      </c>
    </row>
    <row r="1298">
      <c r="L1298" s="76" t="s">
        <v>2930</v>
      </c>
    </row>
    <row r="1299">
      <c r="L1299" s="76" t="s">
        <v>2958</v>
      </c>
    </row>
    <row r="1300">
      <c r="L1300" s="76" t="s">
        <v>3266</v>
      </c>
    </row>
    <row r="1301">
      <c r="L1301" s="76" t="s">
        <v>3286</v>
      </c>
    </row>
    <row r="1302">
      <c r="L1302" s="76" t="s">
        <v>3294</v>
      </c>
    </row>
    <row r="1303">
      <c r="L1303" s="76" t="s">
        <v>3301</v>
      </c>
    </row>
    <row r="1304">
      <c r="L1304" s="76" t="s">
        <v>3710</v>
      </c>
    </row>
    <row r="1305">
      <c r="L1305" s="76" t="s">
        <v>3278</v>
      </c>
    </row>
    <row r="1306">
      <c r="L1306" s="76" t="s">
        <v>3313</v>
      </c>
    </row>
    <row r="1307">
      <c r="L1307" s="76" t="s">
        <v>3307</v>
      </c>
    </row>
    <row r="1308">
      <c r="L1308" s="76" t="s">
        <v>3716</v>
      </c>
    </row>
    <row r="1309">
      <c r="L1309" s="76" t="s">
        <v>3720</v>
      </c>
    </row>
    <row r="1310">
      <c r="L1310" s="76" t="s">
        <v>3724</v>
      </c>
    </row>
    <row r="1311">
      <c r="L1311" s="76" t="s">
        <v>3633</v>
      </c>
    </row>
    <row r="1312">
      <c r="L1312" s="76" t="s">
        <v>3645</v>
      </c>
    </row>
    <row r="1313">
      <c r="L1313" s="76" t="s">
        <v>3627</v>
      </c>
    </row>
    <row r="1314">
      <c r="L1314" s="76" t="s">
        <v>3639</v>
      </c>
    </row>
    <row r="1315">
      <c r="L1315" s="76" t="s">
        <v>3651</v>
      </c>
    </row>
    <row r="1316">
      <c r="L1316" s="76" t="s">
        <v>3612</v>
      </c>
    </row>
    <row r="1317">
      <c r="L1317" s="76" t="s">
        <v>3600</v>
      </c>
    </row>
    <row r="1318">
      <c r="L1318" s="76" t="s">
        <v>1302</v>
      </c>
    </row>
    <row r="1319">
      <c r="L1319" s="76" t="s">
        <v>3620</v>
      </c>
    </row>
    <row r="1320">
      <c r="L1320" s="76" t="s">
        <v>3657</v>
      </c>
    </row>
    <row r="1321">
      <c r="L1321" s="76" t="s">
        <v>3688</v>
      </c>
    </row>
    <row r="1322">
      <c r="L1322" s="76" t="s">
        <v>3682</v>
      </c>
    </row>
    <row r="1323">
      <c r="L1323" s="76" t="s">
        <v>3706</v>
      </c>
    </row>
    <row r="1324">
      <c r="L1324" s="76" t="s">
        <v>3702</v>
      </c>
    </row>
    <row r="1325">
      <c r="L1325" s="76" t="s">
        <v>2321</v>
      </c>
    </row>
    <row r="1326">
      <c r="L1326" s="76" t="s">
        <v>2327</v>
      </c>
    </row>
    <row r="1327">
      <c r="L1327" s="76" t="s">
        <v>2333</v>
      </c>
    </row>
    <row r="1328">
      <c r="L1328" s="76" t="s">
        <v>2339</v>
      </c>
    </row>
    <row r="1329">
      <c r="L1329" s="76" t="s">
        <v>3670</v>
      </c>
    </row>
    <row r="1330">
      <c r="L1330" s="76" t="s">
        <v>3694</v>
      </c>
    </row>
    <row r="1331">
      <c r="L1331" s="76" t="s">
        <v>3676</v>
      </c>
    </row>
    <row r="1332">
      <c r="L1332" s="76" t="s">
        <v>953</v>
      </c>
    </row>
    <row r="1333">
      <c r="L1333" s="76" t="s">
        <v>961</v>
      </c>
    </row>
    <row r="1334">
      <c r="L1334" s="76" t="s">
        <v>967</v>
      </c>
    </row>
    <row r="1335">
      <c r="L1335" s="76" t="s">
        <v>3664</v>
      </c>
    </row>
    <row r="1336">
      <c r="L1336" s="76" t="s">
        <v>3606</v>
      </c>
    </row>
    <row r="1337">
      <c r="L1337" s="76" t="s">
        <v>3587</v>
      </c>
    </row>
    <row r="1338">
      <c r="L1338" s="76" t="s">
        <v>3594</v>
      </c>
    </row>
    <row r="1339">
      <c r="L1339" s="76" t="s">
        <v>2065</v>
      </c>
    </row>
    <row r="1340">
      <c r="L1340" s="76" t="s">
        <v>1683</v>
      </c>
    </row>
    <row r="1341">
      <c r="L1341" s="76" t="s">
        <v>1701</v>
      </c>
    </row>
    <row r="1342">
      <c r="L1342" s="76" t="s">
        <v>1695</v>
      </c>
    </row>
    <row r="1343">
      <c r="L1343" s="76" t="s">
        <v>1689</v>
      </c>
    </row>
    <row r="1344">
      <c r="L1344" s="76" t="s">
        <v>319</v>
      </c>
    </row>
    <row r="1345">
      <c r="L1345" s="76" t="s">
        <v>1432</v>
      </c>
    </row>
    <row r="1346">
      <c r="L1346" s="76" t="s">
        <v>1441</v>
      </c>
    </row>
    <row r="1347">
      <c r="L1347" s="76" t="s">
        <v>1468</v>
      </c>
    </row>
    <row r="1348">
      <c r="L1348" s="76" t="s">
        <v>2638</v>
      </c>
    </row>
    <row r="1349">
      <c r="L1349" s="76" t="s">
        <v>2632</v>
      </c>
    </row>
    <row r="1350">
      <c r="L1350" s="76" t="s">
        <v>4289</v>
      </c>
    </row>
    <row r="1351">
      <c r="L1351" s="76" t="s">
        <v>4295</v>
      </c>
    </row>
    <row r="1352">
      <c r="L1352" s="76" t="s">
        <v>6008</v>
      </c>
    </row>
    <row r="1353">
      <c r="L1353" s="76" t="s">
        <v>6009</v>
      </c>
    </row>
    <row r="1354">
      <c r="L1354" s="76" t="s">
        <v>6010</v>
      </c>
    </row>
    <row r="1355">
      <c r="L1355" s="76" t="s">
        <v>6011</v>
      </c>
    </row>
    <row r="1356">
      <c r="L1356" s="76" t="s">
        <v>772</v>
      </c>
    </row>
    <row r="1357">
      <c r="L1357" s="76" t="s">
        <v>4825</v>
      </c>
    </row>
    <row r="1358">
      <c r="L1358" s="76" t="s">
        <v>4832</v>
      </c>
    </row>
    <row r="1359">
      <c r="L1359" s="76" t="s">
        <v>4863</v>
      </c>
    </row>
    <row r="1360">
      <c r="L1360" s="76" t="s">
        <v>500</v>
      </c>
    </row>
    <row r="1361">
      <c r="L1361" s="76" t="s">
        <v>4805</v>
      </c>
    </row>
    <row r="1362">
      <c r="L1362" s="76" t="s">
        <v>2558</v>
      </c>
    </row>
    <row r="1363">
      <c r="L1363" s="76" t="s">
        <v>4325</v>
      </c>
    </row>
    <row r="1364">
      <c r="L1364" s="76" t="s">
        <v>2103</v>
      </c>
    </row>
    <row r="1365">
      <c r="L1365" s="76" t="s">
        <v>6012</v>
      </c>
    </row>
    <row r="1366">
      <c r="L1366" s="76" t="s">
        <v>2117</v>
      </c>
    </row>
    <row r="1367">
      <c r="L1367" s="76" t="s">
        <v>2110</v>
      </c>
    </row>
    <row r="1368">
      <c r="L1368" s="76" t="s">
        <v>1771</v>
      </c>
    </row>
    <row r="1369">
      <c r="L1369" s="76" t="s">
        <v>1312</v>
      </c>
    </row>
    <row r="1370">
      <c r="L1370" s="76" t="s">
        <v>1319</v>
      </c>
    </row>
    <row r="1371">
      <c r="L1371" s="76" t="s">
        <v>1325</v>
      </c>
    </row>
    <row r="1372">
      <c r="L1372" s="76" t="s">
        <v>2088</v>
      </c>
    </row>
    <row r="1373">
      <c r="L1373" s="76" t="s">
        <v>240</v>
      </c>
    </row>
    <row r="1374">
      <c r="L1374" s="76" t="s">
        <v>233</v>
      </c>
    </row>
    <row r="1375">
      <c r="L1375" s="76" t="s">
        <v>194</v>
      </c>
    </row>
    <row r="1376">
      <c r="L1376" s="76" t="s">
        <v>4775</v>
      </c>
    </row>
    <row r="1377">
      <c r="L1377" s="76" t="s">
        <v>3969</v>
      </c>
    </row>
    <row r="1378">
      <c r="L1378" s="76" t="s">
        <v>648</v>
      </c>
    </row>
    <row r="1379">
      <c r="L1379" s="76" t="s">
        <v>2095</v>
      </c>
    </row>
    <row r="1380">
      <c r="L1380" s="76" t="s">
        <v>2081</v>
      </c>
    </row>
    <row r="1381">
      <c r="L1381" s="76" t="s">
        <v>4557</v>
      </c>
    </row>
    <row r="1382">
      <c r="L1382" s="76" t="s">
        <v>2602</v>
      </c>
    </row>
    <row r="1383">
      <c r="L1383" s="76" t="s">
        <v>4797</v>
      </c>
    </row>
    <row r="1384">
      <c r="L1384" s="76" t="s">
        <v>1160</v>
      </c>
    </row>
    <row r="1385">
      <c r="L1385" s="76" t="s">
        <v>2871</v>
      </c>
    </row>
    <row r="1386">
      <c r="L1386" s="76" t="s">
        <v>308</v>
      </c>
    </row>
    <row r="1387">
      <c r="L1387" s="76" t="s">
        <v>2865</v>
      </c>
    </row>
    <row r="1388">
      <c r="L1388" s="76" t="s">
        <v>2877</v>
      </c>
    </row>
    <row r="1389">
      <c r="L1389" s="76" t="s">
        <v>2892</v>
      </c>
    </row>
    <row r="1390">
      <c r="L1390" s="76" t="s">
        <v>4727</v>
      </c>
    </row>
    <row r="1391">
      <c r="L1391" s="76" t="s">
        <v>4720</v>
      </c>
    </row>
    <row r="1392">
      <c r="L1392" s="76" t="s">
        <v>2618</v>
      </c>
    </row>
    <row r="1393">
      <c r="L1393" s="76" t="s">
        <v>2610</v>
      </c>
    </row>
    <row r="1394">
      <c r="L1394" s="76" t="s">
        <v>2624</v>
      </c>
    </row>
    <row r="1395">
      <c r="L1395" s="76" t="s">
        <v>331</v>
      </c>
    </row>
    <row r="1396">
      <c r="L1396" s="76" t="s">
        <v>324</v>
      </c>
    </row>
    <row r="1397">
      <c r="L1397" s="76" t="s">
        <v>6013</v>
      </c>
    </row>
    <row r="1398">
      <c r="L1398" s="76" t="s">
        <v>1002</v>
      </c>
    </row>
    <row r="1399">
      <c r="L1399" s="76" t="s">
        <v>989</v>
      </c>
    </row>
    <row r="1400">
      <c r="L1400" s="76" t="s">
        <v>996</v>
      </c>
    </row>
    <row r="1401">
      <c r="L1401" s="76" t="s">
        <v>2291</v>
      </c>
    </row>
    <row r="1402">
      <c r="L1402" s="76" t="s">
        <v>4017</v>
      </c>
    </row>
    <row r="1403">
      <c r="L1403" s="76" t="s">
        <v>4023</v>
      </c>
    </row>
    <row r="1404">
      <c r="L1404" s="76" t="s">
        <v>6014</v>
      </c>
    </row>
    <row r="1405">
      <c r="L1405" s="76" t="s">
        <v>6015</v>
      </c>
    </row>
    <row r="1406">
      <c r="L1406" s="76" t="s">
        <v>6016</v>
      </c>
    </row>
    <row r="1407">
      <c r="L1407" s="76" t="s">
        <v>2377</v>
      </c>
    </row>
    <row r="1408">
      <c r="L1408" s="76" t="s">
        <v>2390</v>
      </c>
    </row>
    <row r="1409">
      <c r="L1409" s="76" t="s">
        <v>2445</v>
      </c>
    </row>
    <row r="1410">
      <c r="L1410" s="76" t="s">
        <v>766</v>
      </c>
    </row>
    <row r="1411">
      <c r="L1411" s="76" t="s">
        <v>778</v>
      </c>
    </row>
    <row r="1412">
      <c r="L1412" s="76" t="s">
        <v>784</v>
      </c>
    </row>
    <row r="1413">
      <c r="L1413" s="76" t="s">
        <v>790</v>
      </c>
    </row>
    <row r="1414">
      <c r="L1414" s="76" t="s">
        <v>753</v>
      </c>
    </row>
    <row r="1415">
      <c r="L1415" s="76" t="s">
        <v>3435</v>
      </c>
    </row>
    <row r="1416">
      <c r="L1416" s="76" t="s">
        <v>3429</v>
      </c>
    </row>
    <row r="1417">
      <c r="L1417" s="76" t="s">
        <v>3389</v>
      </c>
    </row>
    <row r="1418">
      <c r="L1418" s="76" t="s">
        <v>3396</v>
      </c>
    </row>
    <row r="1419">
      <c r="L1419" s="76" t="s">
        <v>3411</v>
      </c>
    </row>
    <row r="1420">
      <c r="L1420" s="76" t="s">
        <v>3423</v>
      </c>
    </row>
    <row r="1421">
      <c r="L1421" s="76" t="s">
        <v>3417</v>
      </c>
    </row>
    <row r="1422">
      <c r="L1422" s="76" t="s">
        <v>2026</v>
      </c>
    </row>
    <row r="1423">
      <c r="L1423" s="76" t="s">
        <v>2034</v>
      </c>
    </row>
    <row r="1424">
      <c r="L1424" s="76" t="s">
        <v>3154</v>
      </c>
    </row>
    <row r="1425">
      <c r="L1425" s="76" t="s">
        <v>2181</v>
      </c>
    </row>
    <row r="1426">
      <c r="L1426" s="76" t="s">
        <v>2187</v>
      </c>
    </row>
    <row r="1427">
      <c r="L1427" s="76" t="s">
        <v>2174</v>
      </c>
    </row>
    <row r="1428">
      <c r="L1428" s="76" t="s">
        <v>2193</v>
      </c>
    </row>
    <row r="1429">
      <c r="L1429" s="76" t="s">
        <v>1231</v>
      </c>
    </row>
    <row r="1430">
      <c r="L1430" s="76" t="s">
        <v>1221</v>
      </c>
    </row>
    <row r="1431">
      <c r="L1431" s="76" t="s">
        <v>1271</v>
      </c>
    </row>
    <row r="1432">
      <c r="L1432" s="76" t="s">
        <v>1238</v>
      </c>
    </row>
    <row r="1433">
      <c r="L1433" s="76" t="s">
        <v>2355</v>
      </c>
    </row>
    <row r="1434">
      <c r="L1434" s="76" t="s">
        <v>2347</v>
      </c>
    </row>
    <row r="1435">
      <c r="L1435" s="76" t="s">
        <v>1253</v>
      </c>
    </row>
    <row r="1436">
      <c r="L1436" s="76" t="s">
        <v>1909</v>
      </c>
    </row>
    <row r="1437">
      <c r="L1437" s="76" t="s">
        <v>4891</v>
      </c>
    </row>
    <row r="1438">
      <c r="L1438" s="76" t="s">
        <v>4906</v>
      </c>
    </row>
    <row r="1439">
      <c r="L1439" s="76" t="s">
        <v>4899</v>
      </c>
    </row>
    <row r="1440">
      <c r="L1440" s="76" t="s">
        <v>1168</v>
      </c>
    </row>
    <row r="1441">
      <c r="L1441" s="76" t="s">
        <v>1944</v>
      </c>
    </row>
    <row r="1442">
      <c r="L1442" s="76" t="s">
        <v>1261</v>
      </c>
    </row>
    <row r="1443">
      <c r="L1443" s="76" t="s">
        <v>1278</v>
      </c>
    </row>
    <row r="1444">
      <c r="L1444" s="76" t="s">
        <v>4712</v>
      </c>
    </row>
    <row r="1445">
      <c r="L1445" s="76" t="s">
        <v>50</v>
      </c>
    </row>
    <row r="1446">
      <c r="L1446" s="76" t="s">
        <v>1285</v>
      </c>
    </row>
    <row r="1447">
      <c r="L1447" s="76" t="s">
        <v>1245</v>
      </c>
    </row>
    <row r="1448">
      <c r="L1448" s="76" t="s">
        <v>1293</v>
      </c>
    </row>
    <row r="1449">
      <c r="L1449" s="76" t="s">
        <v>4530</v>
      </c>
    </row>
  </sheetData>
  <autoFilter ref="$A$1:$U$725"/>
  <customSheetViews>
    <customSheetView guid="{903C50A8-AD16-42CC-B57C-ACA124F0D9CD}" filter="1" showAutoFilter="1">
      <autoFilter ref="$A$1:$T$725">
        <filterColumn colId="11">
          <colorFilter cellColor="0" dxfId="1"/>
        </filterColumn>
      </autoFilter>
    </customSheetView>
  </customSheetViews>
  <conditionalFormatting sqref="L1:L1449">
    <cfRule type="expression" dxfId="2" priority="1">
      <formula>countif(L1:L1449,L1)&gt;1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7.29"/>
    <col customWidth="1" min="3" max="3" width="28.0"/>
    <col customWidth="1" min="4" max="4" width="28.29"/>
    <col customWidth="1" min="5" max="5" width="25.43"/>
    <col customWidth="1" min="6" max="6" width="23.14"/>
  </cols>
  <sheetData>
    <row r="1">
      <c r="A1" s="81" t="s">
        <v>0</v>
      </c>
      <c r="B1" s="82" t="s">
        <v>8</v>
      </c>
      <c r="C1" s="82" t="s">
        <v>6017</v>
      </c>
      <c r="D1" s="83" t="s">
        <v>6017</v>
      </c>
      <c r="E1" s="82" t="s">
        <v>6018</v>
      </c>
      <c r="F1" s="83" t="s">
        <v>6018</v>
      </c>
      <c r="G1" s="82" t="s">
        <v>14</v>
      </c>
      <c r="H1" s="82" t="s">
        <v>6019</v>
      </c>
    </row>
    <row r="2">
      <c r="A2" s="84">
        <v>7.290010237579E12</v>
      </c>
      <c r="B2" s="85" t="s">
        <v>4265</v>
      </c>
      <c r="C2" s="85" t="s">
        <v>4269</v>
      </c>
      <c r="D2" s="86" t="s">
        <v>4269</v>
      </c>
      <c r="E2" s="85" t="s">
        <v>6020</v>
      </c>
      <c r="F2" s="86" t="s">
        <v>6020</v>
      </c>
      <c r="G2" s="85" t="s">
        <v>573</v>
      </c>
      <c r="H2" s="87"/>
    </row>
    <row r="3">
      <c r="A3" s="84">
        <v>8.56591000109E11</v>
      </c>
      <c r="B3" s="85" t="s">
        <v>24</v>
      </c>
      <c r="C3" s="85" t="s">
        <v>43</v>
      </c>
      <c r="D3" s="86" t="s">
        <v>43</v>
      </c>
      <c r="E3" s="85" t="s">
        <v>6021</v>
      </c>
      <c r="F3" s="86" t="s">
        <v>6021</v>
      </c>
      <c r="G3" s="85" t="s">
        <v>32</v>
      </c>
      <c r="H3" s="87"/>
    </row>
    <row r="4">
      <c r="A4" s="84">
        <v>8.56591000062E11</v>
      </c>
      <c r="B4" s="85" t="s">
        <v>24</v>
      </c>
      <c r="C4" s="85" t="s">
        <v>27</v>
      </c>
      <c r="D4" s="86" t="s">
        <v>27</v>
      </c>
      <c r="E4" s="85" t="s">
        <v>6021</v>
      </c>
      <c r="F4" s="86" t="s">
        <v>6021</v>
      </c>
      <c r="G4" s="85" t="s">
        <v>32</v>
      </c>
      <c r="H4" s="87"/>
    </row>
    <row r="5">
      <c r="A5" s="84">
        <v>2132011.0</v>
      </c>
      <c r="B5" s="85" t="s">
        <v>24</v>
      </c>
      <c r="C5" s="85" t="s">
        <v>36</v>
      </c>
      <c r="D5" s="86" t="s">
        <v>36</v>
      </c>
      <c r="E5" s="85" t="s">
        <v>6021</v>
      </c>
      <c r="F5" s="86" t="s">
        <v>6021</v>
      </c>
      <c r="G5" s="85" t="s">
        <v>32</v>
      </c>
      <c r="H5" s="87"/>
    </row>
    <row r="6">
      <c r="A6" s="84">
        <v>7.290106576223E12</v>
      </c>
      <c r="B6" s="85" t="s">
        <v>105</v>
      </c>
      <c r="C6" s="85" t="s">
        <v>128</v>
      </c>
      <c r="D6" s="86" t="s">
        <v>128</v>
      </c>
      <c r="E6" s="85" t="s">
        <v>6022</v>
      </c>
      <c r="F6" s="86" t="s">
        <v>6022</v>
      </c>
      <c r="G6" s="85" t="s">
        <v>113</v>
      </c>
      <c r="H6" s="87"/>
    </row>
    <row r="7">
      <c r="A7" s="84">
        <v>7.290104500572E12</v>
      </c>
      <c r="B7" s="85" t="s">
        <v>105</v>
      </c>
      <c r="C7" s="85" t="s">
        <v>123</v>
      </c>
      <c r="D7" s="86" t="s">
        <v>123</v>
      </c>
      <c r="E7" s="85" t="s">
        <v>6022</v>
      </c>
      <c r="F7" s="86" t="s">
        <v>6022</v>
      </c>
      <c r="G7" s="85" t="s">
        <v>113</v>
      </c>
      <c r="H7" s="87"/>
    </row>
    <row r="8">
      <c r="A8" s="84">
        <v>66349.0</v>
      </c>
      <c r="B8" s="85" t="s">
        <v>105</v>
      </c>
      <c r="C8" s="85" t="s">
        <v>108</v>
      </c>
      <c r="D8" s="86" t="s">
        <v>108</v>
      </c>
      <c r="E8" s="85" t="s">
        <v>6022</v>
      </c>
      <c r="F8" s="86" t="s">
        <v>6022</v>
      </c>
      <c r="G8" s="85" t="s">
        <v>113</v>
      </c>
      <c r="H8" s="87"/>
    </row>
    <row r="9">
      <c r="A9" s="84">
        <v>66332.0</v>
      </c>
      <c r="B9" s="85" t="s">
        <v>105</v>
      </c>
      <c r="C9" s="85" t="s">
        <v>117</v>
      </c>
      <c r="D9" s="86" t="s">
        <v>117</v>
      </c>
      <c r="E9" s="85" t="s">
        <v>6022</v>
      </c>
      <c r="F9" s="86" t="s">
        <v>6022</v>
      </c>
      <c r="G9" s="85" t="s">
        <v>113</v>
      </c>
      <c r="H9" s="87"/>
    </row>
    <row r="10">
      <c r="A10" s="84">
        <v>7.290013038432E12</v>
      </c>
      <c r="B10" s="85" t="s">
        <v>141</v>
      </c>
      <c r="C10" s="85" t="s">
        <v>136</v>
      </c>
      <c r="D10" s="86" t="s">
        <v>136</v>
      </c>
      <c r="E10" s="85" t="s">
        <v>6023</v>
      </c>
      <c r="F10" s="86" t="s">
        <v>6023</v>
      </c>
      <c r="G10" s="85" t="s">
        <v>573</v>
      </c>
      <c r="H10" s="87"/>
    </row>
    <row r="11">
      <c r="A11" s="84">
        <v>6.13008753382E11</v>
      </c>
      <c r="B11" s="85" t="s">
        <v>144</v>
      </c>
      <c r="C11" s="85" t="s">
        <v>148</v>
      </c>
      <c r="D11" s="86" t="s">
        <v>148</v>
      </c>
      <c r="E11" s="85" t="s">
        <v>6024</v>
      </c>
      <c r="F11" s="86" t="s">
        <v>6024</v>
      </c>
      <c r="G11" s="85" t="s">
        <v>573</v>
      </c>
      <c r="H11" s="87"/>
    </row>
    <row r="12">
      <c r="A12" s="84">
        <v>6.1300875332E11</v>
      </c>
      <c r="B12" s="85" t="s">
        <v>144</v>
      </c>
      <c r="C12" s="85" t="s">
        <v>156</v>
      </c>
      <c r="D12" s="86" t="s">
        <v>156</v>
      </c>
      <c r="E12" s="85" t="s">
        <v>6024</v>
      </c>
      <c r="F12" s="86" t="s">
        <v>6024</v>
      </c>
      <c r="G12" s="85" t="s">
        <v>573</v>
      </c>
      <c r="H12" s="87"/>
    </row>
    <row r="13">
      <c r="A13" s="84">
        <v>6.1300875329E11</v>
      </c>
      <c r="B13" s="85" t="s">
        <v>144</v>
      </c>
      <c r="C13" s="85" t="s">
        <v>175</v>
      </c>
      <c r="D13" s="86" t="s">
        <v>175</v>
      </c>
      <c r="E13" s="85" t="s">
        <v>6024</v>
      </c>
      <c r="F13" s="86" t="s">
        <v>6024</v>
      </c>
      <c r="G13" s="85" t="s">
        <v>573</v>
      </c>
      <c r="H13" s="87"/>
    </row>
    <row r="14">
      <c r="A14" s="84">
        <v>6.13008742409E11</v>
      </c>
      <c r="B14" s="88" t="s">
        <v>144</v>
      </c>
      <c r="C14" s="85" t="s">
        <v>169</v>
      </c>
      <c r="D14" s="86" t="s">
        <v>169</v>
      </c>
      <c r="E14" s="85" t="s">
        <v>6024</v>
      </c>
      <c r="F14" s="86" t="s">
        <v>6024</v>
      </c>
      <c r="G14" s="85" t="s">
        <v>573</v>
      </c>
      <c r="H14" s="87"/>
    </row>
    <row r="15">
      <c r="A15" s="84">
        <v>6.13008742348E11</v>
      </c>
      <c r="B15" s="88" t="s">
        <v>144</v>
      </c>
      <c r="C15" s="85" t="s">
        <v>162</v>
      </c>
      <c r="D15" s="86" t="s">
        <v>162</v>
      </c>
      <c r="E15" s="85" t="s">
        <v>6024</v>
      </c>
      <c r="F15" s="86" t="s">
        <v>6024</v>
      </c>
      <c r="G15" s="85" t="s">
        <v>573</v>
      </c>
      <c r="H15" s="87"/>
    </row>
    <row r="16">
      <c r="A16" s="84">
        <v>7.610113011652E12</v>
      </c>
      <c r="B16" s="85" t="s">
        <v>516</v>
      </c>
      <c r="C16" s="85" t="s">
        <v>511</v>
      </c>
      <c r="D16" s="86" t="s">
        <v>511</v>
      </c>
      <c r="E16" s="85" t="s">
        <v>6025</v>
      </c>
      <c r="F16" s="86" t="s">
        <v>6025</v>
      </c>
      <c r="G16" s="85" t="s">
        <v>573</v>
      </c>
      <c r="H16" s="87"/>
    </row>
    <row r="17">
      <c r="A17" s="84">
        <v>5.010677554398E12</v>
      </c>
      <c r="B17" s="85" t="s">
        <v>516</v>
      </c>
      <c r="C17" s="85" t="s">
        <v>526</v>
      </c>
      <c r="D17" s="86" t="s">
        <v>526</v>
      </c>
      <c r="E17" s="85" t="s">
        <v>6025</v>
      </c>
      <c r="F17" s="86" t="s">
        <v>6025</v>
      </c>
      <c r="G17" s="85" t="s">
        <v>573</v>
      </c>
      <c r="H17" s="87"/>
    </row>
    <row r="18">
      <c r="A18" s="84">
        <v>5.010677552387E12</v>
      </c>
      <c r="B18" s="85" t="s">
        <v>516</v>
      </c>
      <c r="C18" s="85" t="s">
        <v>520</v>
      </c>
      <c r="D18" s="86" t="s">
        <v>520</v>
      </c>
      <c r="E18" s="85" t="s">
        <v>6025</v>
      </c>
      <c r="F18" s="86" t="s">
        <v>6025</v>
      </c>
      <c r="G18" s="85" t="s">
        <v>573</v>
      </c>
      <c r="H18" s="87"/>
    </row>
    <row r="19">
      <c r="A19" s="84">
        <v>7.290112966025E12</v>
      </c>
      <c r="B19" s="85" t="s">
        <v>3558</v>
      </c>
      <c r="C19" s="85" t="s">
        <v>3582</v>
      </c>
      <c r="D19" s="86" t="s">
        <v>3582</v>
      </c>
      <c r="E19" s="85" t="s">
        <v>6026</v>
      </c>
      <c r="F19" s="86" t="s">
        <v>6026</v>
      </c>
      <c r="G19" s="85" t="s">
        <v>32</v>
      </c>
      <c r="H19" s="87"/>
    </row>
    <row r="20">
      <c r="A20" s="84">
        <v>7.290106574977E12</v>
      </c>
      <c r="B20" s="85" t="s">
        <v>3558</v>
      </c>
      <c r="C20" s="85" t="s">
        <v>3555</v>
      </c>
      <c r="D20" s="86" t="s">
        <v>3555</v>
      </c>
      <c r="E20" s="85" t="s">
        <v>6026</v>
      </c>
      <c r="F20" s="86" t="s">
        <v>6026</v>
      </c>
      <c r="G20" s="85" t="s">
        <v>32</v>
      </c>
      <c r="H20" s="87"/>
    </row>
    <row r="21">
      <c r="A21" s="84">
        <v>76133.0</v>
      </c>
      <c r="B21" s="85" t="s">
        <v>3558</v>
      </c>
      <c r="C21" s="85" t="s">
        <v>5992</v>
      </c>
      <c r="D21" s="86" t="s">
        <v>5992</v>
      </c>
      <c r="E21" s="85" t="s">
        <v>6026</v>
      </c>
      <c r="F21" s="86" t="s">
        <v>6026</v>
      </c>
      <c r="G21" s="85" t="s">
        <v>32</v>
      </c>
      <c r="H21" s="87"/>
    </row>
    <row r="22">
      <c r="A22" s="84">
        <v>76126.0</v>
      </c>
      <c r="B22" s="85" t="s">
        <v>3558</v>
      </c>
      <c r="C22" s="85" t="s">
        <v>5993</v>
      </c>
      <c r="D22" s="86" t="s">
        <v>5993</v>
      </c>
      <c r="E22" s="85" t="s">
        <v>6026</v>
      </c>
      <c r="F22" s="86" t="s">
        <v>6026</v>
      </c>
      <c r="G22" s="85" t="s">
        <v>32</v>
      </c>
      <c r="H22" s="87"/>
    </row>
    <row r="23">
      <c r="A23" s="84">
        <v>71008.0</v>
      </c>
      <c r="B23" s="85" t="s">
        <v>3558</v>
      </c>
      <c r="C23" s="85" t="s">
        <v>5994</v>
      </c>
      <c r="D23" s="86" t="s">
        <v>5994</v>
      </c>
      <c r="E23" s="85" t="s">
        <v>6026</v>
      </c>
      <c r="F23" s="86" t="s">
        <v>6026</v>
      </c>
      <c r="G23" s="85" t="s">
        <v>32</v>
      </c>
      <c r="H23" s="87"/>
    </row>
    <row r="24">
      <c r="A24" s="84">
        <v>7.290112966582E12</v>
      </c>
      <c r="B24" s="85" t="s">
        <v>246</v>
      </c>
      <c r="C24" s="85" t="s">
        <v>267</v>
      </c>
      <c r="D24" s="86" t="s">
        <v>267</v>
      </c>
      <c r="E24" s="85" t="s">
        <v>6027</v>
      </c>
      <c r="F24" s="86" t="s">
        <v>6027</v>
      </c>
      <c r="G24" s="85" t="s">
        <v>113</v>
      </c>
      <c r="H24" s="87"/>
    </row>
    <row r="25">
      <c r="A25" s="84">
        <v>7.290111565656E12</v>
      </c>
      <c r="B25" s="85" t="s">
        <v>246</v>
      </c>
      <c r="C25" s="85" t="s">
        <v>262</v>
      </c>
      <c r="D25" s="86" t="s">
        <v>262</v>
      </c>
      <c r="E25" s="85" t="s">
        <v>6027</v>
      </c>
      <c r="F25" s="86" t="s">
        <v>6027</v>
      </c>
      <c r="G25" s="85" t="s">
        <v>113</v>
      </c>
      <c r="H25" s="87"/>
    </row>
    <row r="26">
      <c r="A26" s="84">
        <v>7.290104508943E12</v>
      </c>
      <c r="B26" s="85" t="s">
        <v>246</v>
      </c>
      <c r="C26" s="85" t="s">
        <v>272</v>
      </c>
      <c r="D26" s="86" t="s">
        <v>272</v>
      </c>
      <c r="E26" s="85" t="s">
        <v>6027</v>
      </c>
      <c r="F26" s="86" t="s">
        <v>6027</v>
      </c>
      <c r="G26" s="85" t="s">
        <v>113</v>
      </c>
      <c r="H26" s="87"/>
    </row>
    <row r="27">
      <c r="A27" s="84">
        <v>68770.0</v>
      </c>
      <c r="B27" s="85" t="s">
        <v>246</v>
      </c>
      <c r="C27" s="85" t="s">
        <v>256</v>
      </c>
      <c r="D27" s="86" t="s">
        <v>256</v>
      </c>
      <c r="E27" s="85" t="s">
        <v>6027</v>
      </c>
      <c r="F27" s="86" t="s">
        <v>6027</v>
      </c>
      <c r="G27" s="85" t="s">
        <v>113</v>
      </c>
      <c r="H27" s="87"/>
    </row>
    <row r="28">
      <c r="A28" s="84">
        <v>66318.0</v>
      </c>
      <c r="B28" s="85" t="s">
        <v>246</v>
      </c>
      <c r="C28" s="85" t="s">
        <v>249</v>
      </c>
      <c r="D28" s="86" t="s">
        <v>249</v>
      </c>
      <c r="E28" s="85" t="s">
        <v>6027</v>
      </c>
      <c r="F28" s="86" t="s">
        <v>6027</v>
      </c>
      <c r="G28" s="85" t="s">
        <v>113</v>
      </c>
      <c r="H28" s="87"/>
    </row>
    <row r="29">
      <c r="A29" s="84">
        <v>4.2061939E7</v>
      </c>
      <c r="B29" s="85" t="s">
        <v>360</v>
      </c>
      <c r="C29" s="85" t="s">
        <v>364</v>
      </c>
      <c r="D29" s="86" t="s">
        <v>364</v>
      </c>
      <c r="E29" s="85" t="s">
        <v>6028</v>
      </c>
      <c r="F29" s="86" t="s">
        <v>6028</v>
      </c>
      <c r="G29" s="85" t="s">
        <v>573</v>
      </c>
      <c r="H29" s="87"/>
    </row>
    <row r="30">
      <c r="A30" s="84">
        <v>7.290111568206E12</v>
      </c>
      <c r="B30" s="85" t="s">
        <v>371</v>
      </c>
      <c r="C30" s="85" t="s">
        <v>428</v>
      </c>
      <c r="D30" s="86" t="s">
        <v>428</v>
      </c>
      <c r="E30" s="85" t="s">
        <v>6029</v>
      </c>
      <c r="F30" s="86" t="s">
        <v>6029</v>
      </c>
      <c r="G30" s="85" t="s">
        <v>113</v>
      </c>
      <c r="H30" s="87"/>
    </row>
    <row r="31">
      <c r="A31" s="84">
        <v>7.290111564956E12</v>
      </c>
      <c r="B31" s="85" t="s">
        <v>371</v>
      </c>
      <c r="C31" s="85" t="s">
        <v>374</v>
      </c>
      <c r="D31" s="86" t="s">
        <v>374</v>
      </c>
      <c r="E31" s="85" t="s">
        <v>6029</v>
      </c>
      <c r="F31" s="86" t="s">
        <v>6029</v>
      </c>
      <c r="G31" s="85" t="s">
        <v>113</v>
      </c>
      <c r="H31" s="87"/>
    </row>
    <row r="32">
      <c r="A32" s="84">
        <v>66226.0</v>
      </c>
      <c r="B32" s="85" t="s">
        <v>371</v>
      </c>
      <c r="C32" s="85" t="s">
        <v>433</v>
      </c>
      <c r="D32" s="86" t="s">
        <v>433</v>
      </c>
      <c r="E32" s="85" t="s">
        <v>6029</v>
      </c>
      <c r="F32" s="86" t="s">
        <v>6029</v>
      </c>
      <c r="G32" s="85" t="s">
        <v>113</v>
      </c>
      <c r="H32" s="87"/>
    </row>
    <row r="33">
      <c r="A33" s="84">
        <v>66219.0</v>
      </c>
      <c r="B33" s="85" t="s">
        <v>371</v>
      </c>
      <c r="C33" s="85" t="s">
        <v>379</v>
      </c>
      <c r="D33" s="86" t="s">
        <v>379</v>
      </c>
      <c r="E33" s="85" t="s">
        <v>6029</v>
      </c>
      <c r="F33" s="86" t="s">
        <v>6029</v>
      </c>
      <c r="G33" s="85" t="s">
        <v>113</v>
      </c>
      <c r="H33" s="87"/>
    </row>
    <row r="34">
      <c r="A34" s="84">
        <v>66202.0</v>
      </c>
      <c r="B34" s="85" t="s">
        <v>371</v>
      </c>
      <c r="C34" s="85" t="s">
        <v>416</v>
      </c>
      <c r="D34" s="86" t="s">
        <v>416</v>
      </c>
      <c r="E34" s="85" t="s">
        <v>6029</v>
      </c>
      <c r="F34" s="86" t="s">
        <v>6029</v>
      </c>
      <c r="G34" s="85" t="s">
        <v>113</v>
      </c>
      <c r="H34" s="87"/>
    </row>
    <row r="35">
      <c r="A35" s="84">
        <v>66196.0</v>
      </c>
      <c r="B35" s="85" t="s">
        <v>371</v>
      </c>
      <c r="C35" s="85" t="s">
        <v>404</v>
      </c>
      <c r="D35" s="86" t="s">
        <v>404</v>
      </c>
      <c r="E35" s="85" t="s">
        <v>6029</v>
      </c>
      <c r="F35" s="86" t="s">
        <v>6029</v>
      </c>
      <c r="G35" s="85" t="s">
        <v>113</v>
      </c>
      <c r="H35" s="87"/>
    </row>
    <row r="36">
      <c r="A36" s="84">
        <v>66189.0</v>
      </c>
      <c r="B36" s="85" t="s">
        <v>371</v>
      </c>
      <c r="C36" s="85" t="s">
        <v>392</v>
      </c>
      <c r="D36" s="86" t="s">
        <v>392</v>
      </c>
      <c r="E36" s="85" t="s">
        <v>6029</v>
      </c>
      <c r="F36" s="86" t="s">
        <v>6029</v>
      </c>
      <c r="G36" s="85" t="s">
        <v>113</v>
      </c>
      <c r="H36" s="87"/>
    </row>
    <row r="37">
      <c r="A37" s="84">
        <v>66172.0</v>
      </c>
      <c r="B37" s="85" t="s">
        <v>371</v>
      </c>
      <c r="C37" s="85" t="s">
        <v>439</v>
      </c>
      <c r="D37" s="86" t="s">
        <v>439</v>
      </c>
      <c r="E37" s="85" t="s">
        <v>6029</v>
      </c>
      <c r="F37" s="86" t="s">
        <v>6029</v>
      </c>
      <c r="G37" s="85" t="s">
        <v>113</v>
      </c>
      <c r="H37" s="87"/>
    </row>
    <row r="38">
      <c r="A38" s="84">
        <v>66165.0</v>
      </c>
      <c r="B38" s="85" t="s">
        <v>371</v>
      </c>
      <c r="C38" s="85" t="s">
        <v>386</v>
      </c>
      <c r="D38" s="86" t="s">
        <v>386</v>
      </c>
      <c r="E38" s="85" t="s">
        <v>6029</v>
      </c>
      <c r="F38" s="86" t="s">
        <v>6029</v>
      </c>
      <c r="G38" s="85" t="s">
        <v>113</v>
      </c>
      <c r="H38" s="87"/>
    </row>
    <row r="39">
      <c r="A39" s="84">
        <v>66158.0</v>
      </c>
      <c r="B39" s="85" t="s">
        <v>371</v>
      </c>
      <c r="C39" s="85" t="s">
        <v>422</v>
      </c>
      <c r="D39" s="86" t="s">
        <v>422</v>
      </c>
      <c r="E39" s="85" t="s">
        <v>6029</v>
      </c>
      <c r="F39" s="86" t="s">
        <v>6029</v>
      </c>
      <c r="G39" s="85" t="s">
        <v>113</v>
      </c>
      <c r="H39" s="87"/>
    </row>
    <row r="40">
      <c r="A40" s="84">
        <v>66141.0</v>
      </c>
      <c r="B40" s="85" t="s">
        <v>371</v>
      </c>
      <c r="C40" s="85" t="s">
        <v>410</v>
      </c>
      <c r="D40" s="86" t="s">
        <v>410</v>
      </c>
      <c r="E40" s="85" t="s">
        <v>6029</v>
      </c>
      <c r="F40" s="86" t="s">
        <v>6029</v>
      </c>
      <c r="G40" s="85" t="s">
        <v>113</v>
      </c>
      <c r="H40" s="87"/>
    </row>
    <row r="41">
      <c r="A41" s="84">
        <v>66134.0</v>
      </c>
      <c r="B41" s="85" t="s">
        <v>371</v>
      </c>
      <c r="C41" s="85" t="s">
        <v>398</v>
      </c>
      <c r="D41" s="86" t="s">
        <v>398</v>
      </c>
      <c r="E41" s="85" t="s">
        <v>6029</v>
      </c>
      <c r="F41" s="86" t="s">
        <v>6029</v>
      </c>
      <c r="G41" s="85" t="s">
        <v>113</v>
      </c>
      <c r="H41" s="87"/>
    </row>
    <row r="42">
      <c r="A42" s="84">
        <v>5.904941752262E12</v>
      </c>
      <c r="B42" s="85" t="s">
        <v>444</v>
      </c>
      <c r="C42" s="85" t="s">
        <v>467</v>
      </c>
      <c r="D42" s="86" t="s">
        <v>467</v>
      </c>
      <c r="E42" s="85" t="s">
        <v>6030</v>
      </c>
      <c r="F42" s="86" t="s">
        <v>6030</v>
      </c>
      <c r="G42" s="85" t="s">
        <v>573</v>
      </c>
      <c r="H42" s="87"/>
    </row>
    <row r="43">
      <c r="A43" s="84">
        <v>5.90494175192E12</v>
      </c>
      <c r="B43" s="85" t="s">
        <v>444</v>
      </c>
      <c r="C43" s="85" t="s">
        <v>448</v>
      </c>
      <c r="D43" s="86" t="s">
        <v>448</v>
      </c>
      <c r="E43" s="85" t="s">
        <v>6030</v>
      </c>
      <c r="F43" s="86" t="s">
        <v>6030</v>
      </c>
      <c r="G43" s="85" t="s">
        <v>573</v>
      </c>
      <c r="H43" s="87"/>
    </row>
    <row r="44">
      <c r="A44" s="84">
        <v>5.904941751524E12</v>
      </c>
      <c r="B44" s="85" t="s">
        <v>444</v>
      </c>
      <c r="C44" s="85" t="s">
        <v>479</v>
      </c>
      <c r="D44" s="86" t="s">
        <v>479</v>
      </c>
      <c r="E44" s="85" t="s">
        <v>6030</v>
      </c>
      <c r="F44" s="86" t="s">
        <v>6030</v>
      </c>
      <c r="G44" s="85" t="s">
        <v>573</v>
      </c>
      <c r="H44" s="87"/>
    </row>
    <row r="45">
      <c r="A45" s="84">
        <v>5.904941751302E12</v>
      </c>
      <c r="B45" s="85" t="s">
        <v>444</v>
      </c>
      <c r="C45" s="85" t="s">
        <v>461</v>
      </c>
      <c r="D45" s="86" t="s">
        <v>461</v>
      </c>
      <c r="E45" s="85" t="s">
        <v>6030</v>
      </c>
      <c r="F45" s="86" t="s">
        <v>6030</v>
      </c>
      <c r="G45" s="85" t="s">
        <v>573</v>
      </c>
      <c r="H45" s="87"/>
    </row>
    <row r="46">
      <c r="A46" s="84">
        <v>5.904941751241E12</v>
      </c>
      <c r="B46" s="85" t="s">
        <v>444</v>
      </c>
      <c r="C46" s="85" t="s">
        <v>455</v>
      </c>
      <c r="D46" s="86" t="s">
        <v>455</v>
      </c>
      <c r="E46" s="85" t="s">
        <v>6030</v>
      </c>
      <c r="F46" s="86" t="s">
        <v>6030</v>
      </c>
      <c r="G46" s="85" t="s">
        <v>573</v>
      </c>
      <c r="H46" s="87"/>
    </row>
    <row r="47">
      <c r="A47" s="84">
        <v>5.904941750312E12</v>
      </c>
      <c r="B47" s="85" t="s">
        <v>444</v>
      </c>
      <c r="C47" s="85" t="s">
        <v>473</v>
      </c>
      <c r="D47" s="86" t="s">
        <v>473</v>
      </c>
      <c r="E47" s="85" t="s">
        <v>6030</v>
      </c>
      <c r="F47" s="86" t="s">
        <v>6030</v>
      </c>
      <c r="G47" s="85" t="s">
        <v>573</v>
      </c>
      <c r="H47" s="87"/>
    </row>
    <row r="48">
      <c r="A48" s="84">
        <v>7.53182231761E11</v>
      </c>
      <c r="B48" s="85" t="s">
        <v>444</v>
      </c>
      <c r="C48" s="85" t="s">
        <v>492</v>
      </c>
      <c r="D48" s="86" t="s">
        <v>492</v>
      </c>
      <c r="E48" s="85" t="s">
        <v>6030</v>
      </c>
      <c r="F48" s="86" t="s">
        <v>6030</v>
      </c>
      <c r="G48" s="85" t="s">
        <v>573</v>
      </c>
      <c r="H48" s="87"/>
    </row>
    <row r="49">
      <c r="A49" s="84">
        <v>5.410228267508E12</v>
      </c>
      <c r="B49" s="85" t="s">
        <v>531</v>
      </c>
      <c r="C49" s="85" t="s">
        <v>535</v>
      </c>
      <c r="D49" s="86" t="s">
        <v>535</v>
      </c>
      <c r="E49" s="85" t="s">
        <v>6031</v>
      </c>
      <c r="F49" s="86" t="s">
        <v>6031</v>
      </c>
      <c r="G49" s="85" t="s">
        <v>573</v>
      </c>
      <c r="H49" s="87"/>
    </row>
    <row r="50">
      <c r="A50" s="84">
        <v>7.290110113421E12</v>
      </c>
      <c r="B50" s="85" t="s">
        <v>566</v>
      </c>
      <c r="C50" s="85" t="s">
        <v>583</v>
      </c>
      <c r="D50" s="86" t="s">
        <v>583</v>
      </c>
      <c r="E50" s="85" t="s">
        <v>6032</v>
      </c>
      <c r="F50" s="86" t="s">
        <v>6032</v>
      </c>
      <c r="G50" s="85" t="s">
        <v>573</v>
      </c>
      <c r="H50" s="87"/>
    </row>
    <row r="51">
      <c r="A51" s="84">
        <v>7.290110110352E12</v>
      </c>
      <c r="B51" s="85" t="s">
        <v>566</v>
      </c>
      <c r="C51" s="85" t="s">
        <v>561</v>
      </c>
      <c r="D51" s="86" t="s">
        <v>561</v>
      </c>
      <c r="E51" s="85" t="s">
        <v>6032</v>
      </c>
      <c r="F51" s="86" t="s">
        <v>6032</v>
      </c>
      <c r="G51" s="85" t="s">
        <v>573</v>
      </c>
      <c r="H51" s="87"/>
    </row>
    <row r="52">
      <c r="A52" s="84">
        <v>8909761.0</v>
      </c>
      <c r="B52" s="85" t="s">
        <v>566</v>
      </c>
      <c r="C52" s="85" t="s">
        <v>570</v>
      </c>
      <c r="D52" s="86" t="s">
        <v>570</v>
      </c>
      <c r="E52" s="85" t="s">
        <v>6032</v>
      </c>
      <c r="F52" s="86" t="s">
        <v>6032</v>
      </c>
      <c r="G52" s="85" t="s">
        <v>573</v>
      </c>
      <c r="H52" s="87"/>
    </row>
    <row r="53">
      <c r="A53" s="84">
        <v>1594568.0</v>
      </c>
      <c r="B53" s="85" t="s">
        <v>566</v>
      </c>
      <c r="C53" s="85" t="s">
        <v>577</v>
      </c>
      <c r="D53" s="86" t="s">
        <v>577</v>
      </c>
      <c r="E53" s="85" t="s">
        <v>6032</v>
      </c>
      <c r="F53" s="86" t="s">
        <v>6032</v>
      </c>
      <c r="G53" s="85" t="s">
        <v>573</v>
      </c>
      <c r="H53" s="87"/>
    </row>
    <row r="54">
      <c r="A54" s="84">
        <v>7.290112335425E12</v>
      </c>
      <c r="B54" s="85" t="s">
        <v>599</v>
      </c>
      <c r="C54" s="85" t="s">
        <v>5997</v>
      </c>
      <c r="D54" s="86" t="s">
        <v>5997</v>
      </c>
      <c r="E54" s="85" t="s">
        <v>6033</v>
      </c>
      <c r="F54" s="86" t="s">
        <v>6033</v>
      </c>
      <c r="G54" s="85" t="s">
        <v>113</v>
      </c>
      <c r="H54" s="87"/>
    </row>
    <row r="55">
      <c r="A55" s="84">
        <v>7.290106720626E12</v>
      </c>
      <c r="B55" s="85" t="s">
        <v>599</v>
      </c>
      <c r="C55" s="85" t="s">
        <v>602</v>
      </c>
      <c r="D55" s="86" t="s">
        <v>602</v>
      </c>
      <c r="E55" s="85" t="s">
        <v>6033</v>
      </c>
      <c r="F55" s="86" t="s">
        <v>6033</v>
      </c>
      <c r="G55" s="85" t="s">
        <v>113</v>
      </c>
      <c r="H55" s="87"/>
    </row>
    <row r="56">
      <c r="A56" s="84">
        <v>7.290106660649E12</v>
      </c>
      <c r="B56" s="85" t="s">
        <v>599</v>
      </c>
      <c r="C56" s="85" t="s">
        <v>608</v>
      </c>
      <c r="D56" s="86" t="s">
        <v>608</v>
      </c>
      <c r="E56" s="85" t="s">
        <v>6033</v>
      </c>
      <c r="F56" s="86" t="s">
        <v>6033</v>
      </c>
      <c r="G56" s="85" t="s">
        <v>113</v>
      </c>
      <c r="H56" s="87"/>
    </row>
    <row r="57">
      <c r="A57" s="84">
        <v>5.410769800097E12</v>
      </c>
      <c r="B57" s="85" t="s">
        <v>618</v>
      </c>
      <c r="C57" s="85" t="s">
        <v>615</v>
      </c>
      <c r="D57" s="86" t="s">
        <v>615</v>
      </c>
      <c r="E57" s="85" t="s">
        <v>6034</v>
      </c>
      <c r="F57" s="86" t="s">
        <v>6034</v>
      </c>
      <c r="G57" s="85" t="s">
        <v>573</v>
      </c>
      <c r="H57" s="87"/>
    </row>
    <row r="58">
      <c r="A58" s="84">
        <v>336282.0</v>
      </c>
      <c r="B58" s="85" t="s">
        <v>6035</v>
      </c>
      <c r="C58" s="85" t="s">
        <v>717</v>
      </c>
      <c r="D58" s="86" t="s">
        <v>717</v>
      </c>
      <c r="E58" s="85" t="s">
        <v>6036</v>
      </c>
      <c r="F58" s="86" t="s">
        <v>6036</v>
      </c>
      <c r="G58" s="85" t="s">
        <v>573</v>
      </c>
      <c r="H58" s="87"/>
    </row>
    <row r="59">
      <c r="A59" s="84">
        <v>7.290013585394E12</v>
      </c>
      <c r="B59" s="85" t="s">
        <v>795</v>
      </c>
      <c r="C59" s="85" t="s">
        <v>798</v>
      </c>
      <c r="D59" s="86" t="s">
        <v>798</v>
      </c>
      <c r="E59" s="85" t="s">
        <v>6037</v>
      </c>
      <c r="F59" s="86" t="s">
        <v>6037</v>
      </c>
      <c r="G59" s="85" t="s">
        <v>573</v>
      </c>
      <c r="H59" s="87"/>
    </row>
    <row r="60">
      <c r="A60" s="84">
        <v>7.290013585387E12</v>
      </c>
      <c r="B60" s="85" t="s">
        <v>795</v>
      </c>
      <c r="C60" s="85" t="s">
        <v>833</v>
      </c>
      <c r="D60" s="86" t="s">
        <v>833</v>
      </c>
      <c r="E60" s="85" t="s">
        <v>6037</v>
      </c>
      <c r="F60" s="86" t="s">
        <v>6037</v>
      </c>
      <c r="G60" s="85" t="s">
        <v>573</v>
      </c>
      <c r="H60" s="87"/>
    </row>
    <row r="61">
      <c r="A61" s="84">
        <v>7.29001101788E12</v>
      </c>
      <c r="B61" s="85" t="s">
        <v>795</v>
      </c>
      <c r="C61" s="85" t="s">
        <v>870</v>
      </c>
      <c r="D61" s="86" t="s">
        <v>870</v>
      </c>
      <c r="E61" s="85" t="s">
        <v>6037</v>
      </c>
      <c r="F61" s="86" t="s">
        <v>6037</v>
      </c>
      <c r="G61" s="85" t="s">
        <v>573</v>
      </c>
      <c r="H61" s="87"/>
    </row>
    <row r="62">
      <c r="A62" s="84">
        <v>7.290011017873E12</v>
      </c>
      <c r="B62" s="85" t="s">
        <v>795</v>
      </c>
      <c r="C62" s="85" t="s">
        <v>839</v>
      </c>
      <c r="D62" s="86" t="s">
        <v>839</v>
      </c>
      <c r="E62" s="85" t="s">
        <v>6037</v>
      </c>
      <c r="F62" s="86" t="s">
        <v>6037</v>
      </c>
      <c r="G62" s="85" t="s">
        <v>573</v>
      </c>
      <c r="H62" s="87"/>
    </row>
    <row r="63">
      <c r="A63" s="84">
        <v>7.290011017866E12</v>
      </c>
      <c r="B63" s="85" t="s">
        <v>795</v>
      </c>
      <c r="C63" s="85" t="s">
        <v>821</v>
      </c>
      <c r="D63" s="86" t="s">
        <v>821</v>
      </c>
      <c r="E63" s="85" t="s">
        <v>6037</v>
      </c>
      <c r="F63" s="86" t="s">
        <v>6037</v>
      </c>
      <c r="G63" s="85" t="s">
        <v>573</v>
      </c>
      <c r="H63" s="87"/>
    </row>
    <row r="64">
      <c r="A64" s="84">
        <v>8909884.0</v>
      </c>
      <c r="B64" s="85" t="s">
        <v>795</v>
      </c>
      <c r="C64" s="85" t="s">
        <v>846</v>
      </c>
      <c r="D64" s="86" t="s">
        <v>846</v>
      </c>
      <c r="E64" s="85" t="s">
        <v>6037</v>
      </c>
      <c r="F64" s="86" t="s">
        <v>6037</v>
      </c>
      <c r="G64" s="85" t="s">
        <v>573</v>
      </c>
      <c r="H64" s="87"/>
    </row>
    <row r="65">
      <c r="A65" s="84">
        <v>8909860.0</v>
      </c>
      <c r="B65" s="85" t="s">
        <v>795</v>
      </c>
      <c r="C65" s="85" t="s">
        <v>852</v>
      </c>
      <c r="D65" s="86" t="s">
        <v>852</v>
      </c>
      <c r="E65" s="85" t="s">
        <v>6037</v>
      </c>
      <c r="F65" s="86" t="s">
        <v>6037</v>
      </c>
      <c r="G65" s="85" t="s">
        <v>573</v>
      </c>
      <c r="H65" s="87"/>
    </row>
    <row r="66">
      <c r="A66" s="84">
        <v>8909853.0</v>
      </c>
      <c r="B66" s="85" t="s">
        <v>795</v>
      </c>
      <c r="C66" s="85" t="s">
        <v>858</v>
      </c>
      <c r="D66" s="86" t="s">
        <v>858</v>
      </c>
      <c r="E66" s="85" t="s">
        <v>6037</v>
      </c>
      <c r="F66" s="86" t="s">
        <v>6037</v>
      </c>
      <c r="G66" s="85" t="s">
        <v>573</v>
      </c>
      <c r="H66" s="87"/>
    </row>
    <row r="67">
      <c r="A67" s="84">
        <v>1594186.0</v>
      </c>
      <c r="B67" s="85" t="s">
        <v>795</v>
      </c>
      <c r="C67" s="85" t="s">
        <v>864</v>
      </c>
      <c r="D67" s="86" t="s">
        <v>864</v>
      </c>
      <c r="E67" s="85" t="s">
        <v>6037</v>
      </c>
      <c r="F67" s="86" t="s">
        <v>6037</v>
      </c>
      <c r="G67" s="85" t="s">
        <v>573</v>
      </c>
      <c r="H67" s="87"/>
    </row>
    <row r="68">
      <c r="A68" s="84">
        <v>1594155.0</v>
      </c>
      <c r="B68" s="85" t="s">
        <v>795</v>
      </c>
      <c r="C68" s="85" t="s">
        <v>827</v>
      </c>
      <c r="D68" s="86" t="s">
        <v>827</v>
      </c>
      <c r="E68" s="85" t="s">
        <v>6037</v>
      </c>
      <c r="F68" s="86" t="s">
        <v>6037</v>
      </c>
      <c r="G68" s="85" t="s">
        <v>573</v>
      </c>
      <c r="H68" s="87"/>
    </row>
    <row r="69">
      <c r="A69" s="84">
        <v>1594025.0</v>
      </c>
      <c r="B69" s="85" t="s">
        <v>795</v>
      </c>
      <c r="C69" s="85" t="s">
        <v>806</v>
      </c>
      <c r="D69" s="86" t="s">
        <v>806</v>
      </c>
      <c r="E69" s="85" t="s">
        <v>6037</v>
      </c>
      <c r="F69" s="86" t="s">
        <v>6037</v>
      </c>
      <c r="G69" s="85" t="s">
        <v>573</v>
      </c>
      <c r="H69" s="87"/>
    </row>
    <row r="70">
      <c r="A70" s="84">
        <v>284361.0</v>
      </c>
      <c r="B70" s="85" t="s">
        <v>795</v>
      </c>
      <c r="C70" s="85" t="s">
        <v>876</v>
      </c>
      <c r="D70" s="86" t="s">
        <v>876</v>
      </c>
      <c r="E70" s="85" t="s">
        <v>6037</v>
      </c>
      <c r="F70" s="86" t="s">
        <v>6037</v>
      </c>
      <c r="G70" s="85" t="s">
        <v>573</v>
      </c>
      <c r="H70" s="87"/>
    </row>
    <row r="71">
      <c r="A71" s="84">
        <v>284316.0</v>
      </c>
      <c r="B71" s="85" t="s">
        <v>795</v>
      </c>
      <c r="C71" s="85" t="s">
        <v>813</v>
      </c>
      <c r="D71" s="86" t="s">
        <v>813</v>
      </c>
      <c r="E71" s="85" t="s">
        <v>6037</v>
      </c>
      <c r="F71" s="86" t="s">
        <v>6037</v>
      </c>
      <c r="G71" s="85" t="s">
        <v>573</v>
      </c>
      <c r="H71" s="87"/>
    </row>
    <row r="72">
      <c r="A72" s="84">
        <v>8.850161160851E12</v>
      </c>
      <c r="B72" s="85" t="s">
        <v>888</v>
      </c>
      <c r="C72" s="85" t="s">
        <v>884</v>
      </c>
      <c r="D72" s="86" t="s">
        <v>884</v>
      </c>
      <c r="E72" s="85" t="s">
        <v>6038</v>
      </c>
      <c r="F72" s="86" t="s">
        <v>6038</v>
      </c>
      <c r="G72" s="85" t="s">
        <v>573</v>
      </c>
      <c r="H72" s="87"/>
    </row>
    <row r="73">
      <c r="A73" s="84">
        <v>8.850161167065E12</v>
      </c>
      <c r="B73" s="85" t="s">
        <v>895</v>
      </c>
      <c r="C73" s="85" t="s">
        <v>899</v>
      </c>
      <c r="D73" s="86" t="s">
        <v>899</v>
      </c>
      <c r="E73" s="85" t="s">
        <v>6039</v>
      </c>
      <c r="F73" s="86" t="s">
        <v>6039</v>
      </c>
      <c r="G73" s="85" t="s">
        <v>573</v>
      </c>
      <c r="H73" s="87"/>
    </row>
    <row r="74">
      <c r="A74" s="84">
        <v>8.850161167041E12</v>
      </c>
      <c r="B74" s="85" t="s">
        <v>895</v>
      </c>
      <c r="C74" s="85" t="s">
        <v>892</v>
      </c>
      <c r="D74" s="86" t="s">
        <v>892</v>
      </c>
      <c r="E74" s="85" t="s">
        <v>6039</v>
      </c>
      <c r="F74" s="86" t="s">
        <v>6039</v>
      </c>
      <c r="G74" s="85" t="s">
        <v>573</v>
      </c>
      <c r="H74" s="87"/>
    </row>
    <row r="75">
      <c r="A75" s="84">
        <v>7.290106667266E12</v>
      </c>
      <c r="B75" s="85" t="s">
        <v>1090</v>
      </c>
      <c r="C75" s="85" t="s">
        <v>1109</v>
      </c>
      <c r="D75" s="86" t="s">
        <v>1109</v>
      </c>
      <c r="E75" s="85" t="s">
        <v>6040</v>
      </c>
      <c r="F75" s="86" t="s">
        <v>6040</v>
      </c>
      <c r="G75" s="85" t="s">
        <v>113</v>
      </c>
      <c r="H75" s="87"/>
    </row>
    <row r="76">
      <c r="A76" s="84">
        <v>7.290106528628E12</v>
      </c>
      <c r="B76" s="85" t="s">
        <v>1090</v>
      </c>
      <c r="C76" s="85" t="s">
        <v>1119</v>
      </c>
      <c r="D76" s="86" t="s">
        <v>1119</v>
      </c>
      <c r="E76" s="85" t="s">
        <v>6040</v>
      </c>
      <c r="F76" s="86" t="s">
        <v>6040</v>
      </c>
      <c r="G76" s="85" t="s">
        <v>113</v>
      </c>
      <c r="H76" s="87"/>
    </row>
    <row r="77">
      <c r="A77" s="84">
        <v>7.290106528567E12</v>
      </c>
      <c r="B77" s="85" t="s">
        <v>1090</v>
      </c>
      <c r="C77" s="85" t="s">
        <v>1093</v>
      </c>
      <c r="D77" s="86" t="s">
        <v>1093</v>
      </c>
      <c r="E77" s="85" t="s">
        <v>6040</v>
      </c>
      <c r="F77" s="86" t="s">
        <v>6040</v>
      </c>
      <c r="G77" s="85" t="s">
        <v>113</v>
      </c>
      <c r="H77" s="87"/>
    </row>
    <row r="78">
      <c r="A78" s="84">
        <v>7.29010085093E12</v>
      </c>
      <c r="B78" s="85" t="s">
        <v>1090</v>
      </c>
      <c r="C78" s="85" t="s">
        <v>1124</v>
      </c>
      <c r="D78" s="86" t="s">
        <v>1124</v>
      </c>
      <c r="E78" s="85" t="s">
        <v>6040</v>
      </c>
      <c r="F78" s="86" t="s">
        <v>6040</v>
      </c>
      <c r="G78" s="85" t="s">
        <v>113</v>
      </c>
      <c r="H78" s="87"/>
    </row>
    <row r="79">
      <c r="A79" s="84">
        <v>7.290100850923E12</v>
      </c>
      <c r="B79" s="85" t="s">
        <v>1090</v>
      </c>
      <c r="C79" s="85" t="s">
        <v>1099</v>
      </c>
      <c r="D79" s="86" t="s">
        <v>1099</v>
      </c>
      <c r="E79" s="85" t="s">
        <v>6040</v>
      </c>
      <c r="F79" s="86" t="s">
        <v>6040</v>
      </c>
      <c r="G79" s="85" t="s">
        <v>113</v>
      </c>
      <c r="H79" s="87"/>
    </row>
    <row r="80">
      <c r="A80" s="84">
        <v>7.290100850916E12</v>
      </c>
      <c r="B80" s="85" t="s">
        <v>1090</v>
      </c>
      <c r="C80" s="85" t="s">
        <v>1114</v>
      </c>
      <c r="D80" s="86" t="s">
        <v>1114</v>
      </c>
      <c r="E80" s="85" t="s">
        <v>6040</v>
      </c>
      <c r="F80" s="86" t="s">
        <v>6040</v>
      </c>
      <c r="G80" s="85" t="s">
        <v>113</v>
      </c>
      <c r="H80" s="87"/>
    </row>
    <row r="81">
      <c r="A81" s="84">
        <v>7.290010117864E12</v>
      </c>
      <c r="B81" s="85" t="s">
        <v>1090</v>
      </c>
      <c r="C81" s="85" t="s">
        <v>1104</v>
      </c>
      <c r="D81" s="86" t="s">
        <v>1104</v>
      </c>
      <c r="E81" s="85" t="s">
        <v>6040</v>
      </c>
      <c r="F81" s="86" t="s">
        <v>6040</v>
      </c>
      <c r="G81" s="85" t="s">
        <v>113</v>
      </c>
      <c r="H81" s="87"/>
    </row>
    <row r="82">
      <c r="A82" s="84">
        <v>66264.0</v>
      </c>
      <c r="B82" s="85" t="s">
        <v>1128</v>
      </c>
      <c r="C82" s="85" t="s">
        <v>1131</v>
      </c>
      <c r="D82" s="86" t="s">
        <v>1131</v>
      </c>
      <c r="E82" s="85" t="s">
        <v>6041</v>
      </c>
      <c r="F82" s="86" t="s">
        <v>6041</v>
      </c>
      <c r="G82" s="85" t="s">
        <v>113</v>
      </c>
      <c r="H82" s="87"/>
    </row>
    <row r="83">
      <c r="A83" s="84">
        <v>7.290010237623E12</v>
      </c>
      <c r="B83" s="85" t="s">
        <v>2992</v>
      </c>
      <c r="C83" s="85" t="s">
        <v>3003</v>
      </c>
      <c r="D83" s="86" t="s">
        <v>3003</v>
      </c>
      <c r="E83" s="85" t="s">
        <v>6042</v>
      </c>
      <c r="F83" s="86" t="s">
        <v>6042</v>
      </c>
      <c r="G83" s="85" t="s">
        <v>573</v>
      </c>
      <c r="H83" s="87"/>
    </row>
    <row r="84">
      <c r="A84" s="84">
        <v>8.410793282934E12</v>
      </c>
      <c r="B84" s="85" t="s">
        <v>1343</v>
      </c>
      <c r="C84" s="85" t="s">
        <v>1340</v>
      </c>
      <c r="D84" s="86" t="s">
        <v>1340</v>
      </c>
      <c r="E84" s="85" t="s">
        <v>6043</v>
      </c>
      <c r="F84" s="86" t="s">
        <v>6043</v>
      </c>
      <c r="G84" s="85" t="s">
        <v>573</v>
      </c>
      <c r="H84" s="87"/>
    </row>
    <row r="85">
      <c r="A85" s="84">
        <v>7.290011018443E12</v>
      </c>
      <c r="B85" s="85" t="s">
        <v>1346</v>
      </c>
      <c r="C85" s="85" t="s">
        <v>1371</v>
      </c>
      <c r="D85" s="86" t="s">
        <v>1371</v>
      </c>
      <c r="E85" s="85" t="s">
        <v>6044</v>
      </c>
      <c r="F85" s="86" t="s">
        <v>6044</v>
      </c>
      <c r="G85" s="85" t="s">
        <v>573</v>
      </c>
      <c r="H85" s="87"/>
    </row>
    <row r="86">
      <c r="A86" s="84">
        <v>5605901.0</v>
      </c>
      <c r="B86" s="85" t="s">
        <v>1346</v>
      </c>
      <c r="C86" s="85" t="s">
        <v>1350</v>
      </c>
      <c r="D86" s="86" t="s">
        <v>1350</v>
      </c>
      <c r="E86" s="85" t="s">
        <v>6044</v>
      </c>
      <c r="F86" s="86" t="s">
        <v>6044</v>
      </c>
      <c r="G86" s="85" t="s">
        <v>573</v>
      </c>
      <c r="H86" s="87"/>
    </row>
    <row r="87">
      <c r="A87" s="84">
        <v>5605895.0</v>
      </c>
      <c r="B87" s="85" t="s">
        <v>1346</v>
      </c>
      <c r="C87" s="85" t="s">
        <v>1358</v>
      </c>
      <c r="D87" s="86" t="s">
        <v>1358</v>
      </c>
      <c r="E87" s="85" t="s">
        <v>6044</v>
      </c>
      <c r="F87" s="86" t="s">
        <v>6044</v>
      </c>
      <c r="G87" s="85" t="s">
        <v>573</v>
      </c>
      <c r="H87" s="87"/>
    </row>
    <row r="88">
      <c r="A88" s="84">
        <v>3667109.0</v>
      </c>
      <c r="B88" s="85" t="s">
        <v>1346</v>
      </c>
      <c r="C88" s="85" t="s">
        <v>1377</v>
      </c>
      <c r="D88" s="86" t="s">
        <v>1377</v>
      </c>
      <c r="E88" s="85" t="s">
        <v>6044</v>
      </c>
      <c r="F88" s="86" t="s">
        <v>6044</v>
      </c>
      <c r="G88" s="85" t="s">
        <v>573</v>
      </c>
      <c r="H88" s="87"/>
    </row>
    <row r="89">
      <c r="A89" s="84">
        <v>1594179.0</v>
      </c>
      <c r="B89" s="85" t="s">
        <v>1346</v>
      </c>
      <c r="C89" s="85" t="s">
        <v>1365</v>
      </c>
      <c r="D89" s="86" t="s">
        <v>1365</v>
      </c>
      <c r="E89" s="85" t="s">
        <v>6044</v>
      </c>
      <c r="F89" s="86" t="s">
        <v>6044</v>
      </c>
      <c r="G89" s="85" t="s">
        <v>573</v>
      </c>
      <c r="H89" s="87"/>
    </row>
    <row r="90">
      <c r="A90" s="84">
        <v>8.006290803514E12</v>
      </c>
      <c r="B90" s="85" t="s">
        <v>1382</v>
      </c>
      <c r="C90" s="85" t="s">
        <v>1384</v>
      </c>
      <c r="D90" s="86" t="s">
        <v>1384</v>
      </c>
      <c r="E90" s="85" t="s">
        <v>6045</v>
      </c>
      <c r="F90" s="86" t="s">
        <v>6045</v>
      </c>
      <c r="G90" s="85" t="s">
        <v>573</v>
      </c>
      <c r="H90" s="87"/>
    </row>
    <row r="91">
      <c r="A91" s="84">
        <v>7.290112965707E12</v>
      </c>
      <c r="B91" s="85" t="s">
        <v>1391</v>
      </c>
      <c r="C91" s="85" t="s">
        <v>1400</v>
      </c>
      <c r="D91" s="86" t="s">
        <v>1400</v>
      </c>
      <c r="E91" s="85" t="s">
        <v>6046</v>
      </c>
      <c r="F91" s="86" t="s">
        <v>6046</v>
      </c>
      <c r="G91" s="85" t="s">
        <v>113</v>
      </c>
      <c r="H91" s="87"/>
    </row>
    <row r="92">
      <c r="A92" s="84">
        <v>7.290112965684E12</v>
      </c>
      <c r="B92" s="85" t="s">
        <v>1391</v>
      </c>
      <c r="C92" s="85" t="s">
        <v>1405</v>
      </c>
      <c r="D92" s="86" t="s">
        <v>1405</v>
      </c>
      <c r="E92" s="85" t="s">
        <v>6046</v>
      </c>
      <c r="F92" s="86" t="s">
        <v>6046</v>
      </c>
      <c r="G92" s="85" t="s">
        <v>113</v>
      </c>
      <c r="H92" s="87"/>
    </row>
    <row r="93">
      <c r="A93" s="84">
        <v>7.29011296566E12</v>
      </c>
      <c r="B93" s="85" t="s">
        <v>1391</v>
      </c>
      <c r="C93" s="85" t="s">
        <v>1394</v>
      </c>
      <c r="D93" s="86" t="s">
        <v>1394</v>
      </c>
      <c r="E93" s="85" t="s">
        <v>6046</v>
      </c>
      <c r="F93" s="86" t="s">
        <v>6046</v>
      </c>
      <c r="G93" s="85" t="s">
        <v>113</v>
      </c>
      <c r="H93" s="87"/>
    </row>
    <row r="94">
      <c r="A94" s="84">
        <v>7.290018440209E12</v>
      </c>
      <c r="B94" s="85" t="s">
        <v>1416</v>
      </c>
      <c r="C94" s="85" t="s">
        <v>1425</v>
      </c>
      <c r="D94" s="86" t="s">
        <v>1425</v>
      </c>
      <c r="E94" s="85" t="s">
        <v>6047</v>
      </c>
      <c r="F94" s="86" t="s">
        <v>6047</v>
      </c>
      <c r="G94" s="85" t="s">
        <v>32</v>
      </c>
      <c r="H94" s="87"/>
    </row>
    <row r="95">
      <c r="A95" s="84">
        <v>7.290018440193E12</v>
      </c>
      <c r="B95" s="85" t="s">
        <v>1416</v>
      </c>
      <c r="C95" s="85" t="s">
        <v>1412</v>
      </c>
      <c r="D95" s="86" t="s">
        <v>1412</v>
      </c>
      <c r="E95" s="85" t="s">
        <v>6047</v>
      </c>
      <c r="F95" s="86" t="s">
        <v>6047</v>
      </c>
      <c r="G95" s="85" t="s">
        <v>32</v>
      </c>
      <c r="H95" s="87"/>
    </row>
    <row r="96">
      <c r="A96" s="84">
        <v>7.290017513775E12</v>
      </c>
      <c r="B96" s="85" t="s">
        <v>1416</v>
      </c>
      <c r="C96" s="85" t="s">
        <v>1420</v>
      </c>
      <c r="D96" s="86" t="s">
        <v>1420</v>
      </c>
      <c r="E96" s="85" t="s">
        <v>6047</v>
      </c>
      <c r="F96" s="86" t="s">
        <v>6047</v>
      </c>
      <c r="G96" s="85" t="s">
        <v>32</v>
      </c>
      <c r="H96" s="87"/>
    </row>
    <row r="97">
      <c r="A97" s="84">
        <v>7.290017888644E12</v>
      </c>
      <c r="B97" s="85" t="s">
        <v>1550</v>
      </c>
      <c r="C97" s="85" t="s">
        <v>1562</v>
      </c>
      <c r="D97" s="86" t="s">
        <v>1562</v>
      </c>
      <c r="E97" s="85" t="s">
        <v>6048</v>
      </c>
      <c r="F97" s="86" t="s">
        <v>6048</v>
      </c>
      <c r="G97" s="85" t="s">
        <v>573</v>
      </c>
      <c r="H97" s="87"/>
    </row>
    <row r="98">
      <c r="A98" s="84">
        <v>7.290017888033E12</v>
      </c>
      <c r="B98" s="85" t="s">
        <v>1550</v>
      </c>
      <c r="C98" s="85" t="s">
        <v>1554</v>
      </c>
      <c r="D98" s="86" t="s">
        <v>1554</v>
      </c>
      <c r="E98" s="85" t="s">
        <v>6048</v>
      </c>
      <c r="F98" s="86" t="s">
        <v>6048</v>
      </c>
      <c r="G98" s="85" t="s">
        <v>573</v>
      </c>
      <c r="H98" s="87"/>
    </row>
    <row r="99">
      <c r="A99" s="84">
        <v>7.290017888026E12</v>
      </c>
      <c r="B99" s="85" t="s">
        <v>1550</v>
      </c>
      <c r="C99" s="85" t="s">
        <v>1568</v>
      </c>
      <c r="D99" s="86" t="s">
        <v>1568</v>
      </c>
      <c r="E99" s="85" t="s">
        <v>6048</v>
      </c>
      <c r="F99" s="86" t="s">
        <v>6048</v>
      </c>
      <c r="G99" s="85" t="s">
        <v>573</v>
      </c>
      <c r="H99" s="87"/>
    </row>
    <row r="100">
      <c r="A100" s="84">
        <v>7.290017888019E12</v>
      </c>
      <c r="B100" s="85" t="s">
        <v>1550</v>
      </c>
      <c r="C100" s="85" t="s">
        <v>1574</v>
      </c>
      <c r="D100" s="86" t="s">
        <v>1574</v>
      </c>
      <c r="E100" s="85" t="s">
        <v>6048</v>
      </c>
      <c r="F100" s="86" t="s">
        <v>6048</v>
      </c>
      <c r="G100" s="85" t="s">
        <v>573</v>
      </c>
      <c r="H100" s="87"/>
    </row>
    <row r="101">
      <c r="A101" s="84">
        <v>7.290014791879E12</v>
      </c>
      <c r="B101" s="85" t="s">
        <v>1521</v>
      </c>
      <c r="C101" s="85" t="s">
        <v>1518</v>
      </c>
      <c r="D101" s="86" t="s">
        <v>1518</v>
      </c>
      <c r="E101" s="85" t="s">
        <v>6049</v>
      </c>
      <c r="F101" s="86" t="s">
        <v>6049</v>
      </c>
      <c r="G101" s="85" t="s">
        <v>573</v>
      </c>
      <c r="H101" s="87"/>
    </row>
    <row r="102">
      <c r="A102" s="84">
        <v>7.290014791848E12</v>
      </c>
      <c r="B102" s="85" t="s">
        <v>1521</v>
      </c>
      <c r="C102" s="85" t="s">
        <v>1539</v>
      </c>
      <c r="D102" s="86" t="s">
        <v>1539</v>
      </c>
      <c r="E102" s="85" t="s">
        <v>6049</v>
      </c>
      <c r="F102" s="86" t="s">
        <v>6049</v>
      </c>
      <c r="G102" s="85" t="s">
        <v>573</v>
      </c>
      <c r="H102" s="87"/>
    </row>
    <row r="103">
      <c r="A103" s="84">
        <v>7.290014791817E12</v>
      </c>
      <c r="B103" s="85" t="s">
        <v>1529</v>
      </c>
      <c r="C103" s="85" t="s">
        <v>1525</v>
      </c>
      <c r="D103" s="86" t="s">
        <v>1525</v>
      </c>
      <c r="E103" s="85" t="s">
        <v>6050</v>
      </c>
      <c r="F103" s="86" t="s">
        <v>6050</v>
      </c>
      <c r="G103" s="85" t="s">
        <v>573</v>
      </c>
      <c r="H103" s="87"/>
    </row>
    <row r="104">
      <c r="A104" s="84">
        <v>7.2900147918E12</v>
      </c>
      <c r="B104" s="85" t="s">
        <v>1529</v>
      </c>
      <c r="C104" s="85" t="s">
        <v>1533</v>
      </c>
      <c r="D104" s="86" t="s">
        <v>1533</v>
      </c>
      <c r="E104" s="85" t="s">
        <v>6050</v>
      </c>
      <c r="F104" s="86" t="s">
        <v>6050</v>
      </c>
      <c r="G104" s="85" t="s">
        <v>573</v>
      </c>
      <c r="H104" s="87"/>
    </row>
    <row r="105">
      <c r="A105" s="84">
        <v>7.290014791787E12</v>
      </c>
      <c r="B105" s="85" t="s">
        <v>1529</v>
      </c>
      <c r="C105" s="85" t="s">
        <v>1545</v>
      </c>
      <c r="D105" s="86" t="s">
        <v>1545</v>
      </c>
      <c r="E105" s="85" t="s">
        <v>6050</v>
      </c>
      <c r="F105" s="86" t="s">
        <v>6050</v>
      </c>
      <c r="G105" s="85" t="s">
        <v>573</v>
      </c>
      <c r="H105" s="87"/>
    </row>
    <row r="106">
      <c r="A106" s="84">
        <v>7.29011011349E12</v>
      </c>
      <c r="B106" s="85" t="s">
        <v>1586</v>
      </c>
      <c r="C106" s="85" t="s">
        <v>1632</v>
      </c>
      <c r="D106" s="86" t="s">
        <v>1632</v>
      </c>
      <c r="E106" s="85" t="s">
        <v>6051</v>
      </c>
      <c r="F106" s="86" t="s">
        <v>6051</v>
      </c>
      <c r="G106" s="85" t="s">
        <v>573</v>
      </c>
      <c r="H106" s="87"/>
    </row>
    <row r="107">
      <c r="A107" s="84">
        <v>7.290110112141E12</v>
      </c>
      <c r="B107" s="85" t="s">
        <v>1586</v>
      </c>
      <c r="C107" s="85" t="s">
        <v>1620</v>
      </c>
      <c r="D107" s="86" t="s">
        <v>1620</v>
      </c>
      <c r="E107" s="85" t="s">
        <v>6051</v>
      </c>
      <c r="F107" s="86" t="s">
        <v>6051</v>
      </c>
      <c r="G107" s="85" t="s">
        <v>573</v>
      </c>
      <c r="H107" s="87"/>
    </row>
    <row r="108">
      <c r="A108" s="84">
        <v>7.290110110765E12</v>
      </c>
      <c r="B108" s="85" t="s">
        <v>1586</v>
      </c>
      <c r="C108" s="85" t="s">
        <v>1626</v>
      </c>
      <c r="D108" s="86" t="s">
        <v>1626</v>
      </c>
      <c r="E108" s="85" t="s">
        <v>6051</v>
      </c>
      <c r="F108" s="86" t="s">
        <v>6051</v>
      </c>
      <c r="G108" s="85" t="s">
        <v>573</v>
      </c>
      <c r="H108" s="87"/>
    </row>
    <row r="109">
      <c r="A109" s="84">
        <v>7.290011018214E12</v>
      </c>
      <c r="B109" s="85" t="s">
        <v>1586</v>
      </c>
      <c r="C109" s="85" t="s">
        <v>1605</v>
      </c>
      <c r="D109" s="86" t="s">
        <v>1605</v>
      </c>
      <c r="E109" s="85" t="s">
        <v>6051</v>
      </c>
      <c r="F109" s="86" t="s">
        <v>6051</v>
      </c>
      <c r="G109" s="85" t="s">
        <v>573</v>
      </c>
      <c r="H109" s="87"/>
    </row>
    <row r="110">
      <c r="A110" s="84">
        <v>7.290011018191E12</v>
      </c>
      <c r="B110" s="85" t="s">
        <v>1586</v>
      </c>
      <c r="C110" s="85" t="s">
        <v>1614</v>
      </c>
      <c r="D110" s="86" t="s">
        <v>1614</v>
      </c>
      <c r="E110" s="85" t="s">
        <v>6051</v>
      </c>
      <c r="F110" s="86" t="s">
        <v>6051</v>
      </c>
      <c r="G110" s="85" t="s">
        <v>573</v>
      </c>
      <c r="H110" s="87"/>
    </row>
    <row r="111">
      <c r="A111" s="84">
        <v>7.290011018184E12</v>
      </c>
      <c r="B111" s="85" t="s">
        <v>1586</v>
      </c>
      <c r="C111" s="85" t="s">
        <v>1590</v>
      </c>
      <c r="D111" s="86" t="s">
        <v>1590</v>
      </c>
      <c r="E111" s="85" t="s">
        <v>6051</v>
      </c>
      <c r="F111" s="86" t="s">
        <v>6051</v>
      </c>
      <c r="G111" s="85" t="s">
        <v>573</v>
      </c>
      <c r="H111" s="87"/>
    </row>
    <row r="112">
      <c r="A112" s="84">
        <v>7.290110113483E12</v>
      </c>
      <c r="B112" s="85" t="s">
        <v>1586</v>
      </c>
      <c r="C112" s="85" t="s">
        <v>1635</v>
      </c>
      <c r="D112" s="86" t="s">
        <v>1635</v>
      </c>
      <c r="E112" s="85" t="s">
        <v>6051</v>
      </c>
      <c r="F112" s="86" t="s">
        <v>6051</v>
      </c>
      <c r="G112" s="85" t="s">
        <v>573</v>
      </c>
      <c r="H112" s="87"/>
    </row>
    <row r="113">
      <c r="A113" s="84">
        <v>7.29001101858E12</v>
      </c>
      <c r="B113" s="85" t="s">
        <v>1586</v>
      </c>
      <c r="C113" s="85" t="s">
        <v>1583</v>
      </c>
      <c r="D113" s="86" t="s">
        <v>1583</v>
      </c>
      <c r="E113" s="85" t="s">
        <v>6051</v>
      </c>
      <c r="F113" s="86" t="s">
        <v>6051</v>
      </c>
      <c r="G113" s="85" t="s">
        <v>573</v>
      </c>
      <c r="H113" s="87"/>
    </row>
    <row r="114">
      <c r="A114" s="84">
        <v>7.290011018306E12</v>
      </c>
      <c r="B114" s="85" t="s">
        <v>1586</v>
      </c>
      <c r="C114" s="85" t="s">
        <v>1599</v>
      </c>
      <c r="D114" s="86" t="s">
        <v>1599</v>
      </c>
      <c r="E114" s="85" t="s">
        <v>6051</v>
      </c>
      <c r="F114" s="86" t="s">
        <v>6051</v>
      </c>
      <c r="G114" s="85" t="s">
        <v>573</v>
      </c>
      <c r="H114" s="87"/>
    </row>
    <row r="115">
      <c r="A115" s="84">
        <v>7.290011018283E12</v>
      </c>
      <c r="B115" s="85" t="s">
        <v>1586</v>
      </c>
      <c r="C115" s="85" t="s">
        <v>1593</v>
      </c>
      <c r="D115" s="86" t="s">
        <v>1593</v>
      </c>
      <c r="E115" s="85" t="s">
        <v>6051</v>
      </c>
      <c r="F115" s="86" t="s">
        <v>6051</v>
      </c>
      <c r="G115" s="85" t="s">
        <v>573</v>
      </c>
      <c r="H115" s="87"/>
    </row>
    <row r="116">
      <c r="A116" s="84">
        <v>7.290011018252E12</v>
      </c>
      <c r="B116" s="85" t="s">
        <v>1586</v>
      </c>
      <c r="C116" s="85" t="s">
        <v>1608</v>
      </c>
      <c r="D116" s="86" t="s">
        <v>1608</v>
      </c>
      <c r="E116" s="85" t="s">
        <v>6051</v>
      </c>
      <c r="F116" s="86" t="s">
        <v>6051</v>
      </c>
      <c r="G116" s="85" t="s">
        <v>573</v>
      </c>
      <c r="H116" s="87"/>
    </row>
    <row r="117">
      <c r="A117" s="84">
        <v>8.001160001892E12</v>
      </c>
      <c r="B117" s="85" t="s">
        <v>1640</v>
      </c>
      <c r="C117" s="85" t="s">
        <v>1644</v>
      </c>
      <c r="D117" s="86" t="s">
        <v>1644</v>
      </c>
      <c r="E117" s="85" t="s">
        <v>6052</v>
      </c>
      <c r="F117" s="86" t="s">
        <v>6052</v>
      </c>
      <c r="G117" s="85" t="s">
        <v>573</v>
      </c>
      <c r="H117" s="87"/>
    </row>
    <row r="118">
      <c r="A118" s="84">
        <v>8.001160001786E12</v>
      </c>
      <c r="B118" s="85" t="s">
        <v>1640</v>
      </c>
      <c r="C118" s="85" t="s">
        <v>1651</v>
      </c>
      <c r="D118" s="86" t="s">
        <v>1651</v>
      </c>
      <c r="E118" s="85" t="s">
        <v>6052</v>
      </c>
      <c r="F118" s="86" t="s">
        <v>6052</v>
      </c>
      <c r="G118" s="85" t="s">
        <v>573</v>
      </c>
      <c r="H118" s="87"/>
    </row>
    <row r="119">
      <c r="A119" s="84">
        <v>8464468.0</v>
      </c>
      <c r="B119" s="85" t="s">
        <v>1731</v>
      </c>
      <c r="C119" s="85" t="s">
        <v>1740</v>
      </c>
      <c r="D119" s="86" t="s">
        <v>1740</v>
      </c>
      <c r="E119" s="85" t="s">
        <v>6053</v>
      </c>
      <c r="F119" s="86" t="s">
        <v>6053</v>
      </c>
      <c r="G119" s="85" t="s">
        <v>573</v>
      </c>
      <c r="H119" s="87"/>
    </row>
    <row r="120">
      <c r="A120" s="84">
        <v>8464345.0</v>
      </c>
      <c r="B120" s="85" t="s">
        <v>1731</v>
      </c>
      <c r="C120" s="85" t="s">
        <v>1734</v>
      </c>
      <c r="D120" s="86" t="s">
        <v>1734</v>
      </c>
      <c r="E120" s="85" t="s">
        <v>6053</v>
      </c>
      <c r="F120" s="86" t="s">
        <v>6053</v>
      </c>
      <c r="G120" s="85" t="s">
        <v>573</v>
      </c>
      <c r="H120" s="87"/>
    </row>
    <row r="121">
      <c r="A121" s="84">
        <v>8464109.0</v>
      </c>
      <c r="B121" s="85" t="s">
        <v>1731</v>
      </c>
      <c r="C121" s="85" t="s">
        <v>1752</v>
      </c>
      <c r="D121" s="86" t="s">
        <v>1752</v>
      </c>
      <c r="E121" s="85" t="s">
        <v>6053</v>
      </c>
      <c r="F121" s="86" t="s">
        <v>6053</v>
      </c>
      <c r="G121" s="85" t="s">
        <v>573</v>
      </c>
      <c r="H121" s="87"/>
    </row>
    <row r="122">
      <c r="A122" s="84">
        <v>8464024.0</v>
      </c>
      <c r="B122" s="85" t="s">
        <v>1731</v>
      </c>
      <c r="C122" s="85" t="s">
        <v>1746</v>
      </c>
      <c r="D122" s="86" t="s">
        <v>1746</v>
      </c>
      <c r="E122" s="85" t="s">
        <v>6053</v>
      </c>
      <c r="F122" s="86" t="s">
        <v>6053</v>
      </c>
      <c r="G122" s="85" t="s">
        <v>573</v>
      </c>
      <c r="H122" s="87"/>
    </row>
    <row r="123">
      <c r="A123" s="84">
        <v>7.290014241589E12</v>
      </c>
      <c r="B123" s="85" t="s">
        <v>1790</v>
      </c>
      <c r="C123" s="85" t="s">
        <v>1816</v>
      </c>
      <c r="D123" s="86" t="s">
        <v>1816</v>
      </c>
      <c r="E123" s="85" t="s">
        <v>6054</v>
      </c>
      <c r="F123" s="86" t="s">
        <v>6054</v>
      </c>
      <c r="G123" s="85" t="s">
        <v>1798</v>
      </c>
      <c r="H123" s="87"/>
    </row>
    <row r="124">
      <c r="A124" s="84">
        <v>8166775.0</v>
      </c>
      <c r="B124" s="85" t="s">
        <v>1790</v>
      </c>
      <c r="C124" s="85" t="s">
        <v>1809</v>
      </c>
      <c r="D124" s="86" t="s">
        <v>1809</v>
      </c>
      <c r="E124" s="85" t="s">
        <v>6054</v>
      </c>
      <c r="F124" s="86" t="s">
        <v>6054</v>
      </c>
      <c r="G124" s="85" t="s">
        <v>1798</v>
      </c>
      <c r="H124" s="87"/>
    </row>
    <row r="125">
      <c r="A125" s="84">
        <v>8166010.0</v>
      </c>
      <c r="B125" s="85" t="s">
        <v>1790</v>
      </c>
      <c r="C125" s="85" t="s">
        <v>1834</v>
      </c>
      <c r="D125" s="86" t="s">
        <v>1834</v>
      </c>
      <c r="E125" s="85" t="s">
        <v>6054</v>
      </c>
      <c r="F125" s="86" t="s">
        <v>6054</v>
      </c>
      <c r="G125" s="85" t="s">
        <v>1798</v>
      </c>
      <c r="H125" s="87"/>
    </row>
    <row r="126">
      <c r="A126" s="84">
        <v>4532581.0</v>
      </c>
      <c r="B126" s="85" t="s">
        <v>1790</v>
      </c>
      <c r="C126" s="85" t="s">
        <v>1847</v>
      </c>
      <c r="D126" s="86" t="s">
        <v>1847</v>
      </c>
      <c r="E126" s="85" t="s">
        <v>6054</v>
      </c>
      <c r="F126" s="86" t="s">
        <v>6054</v>
      </c>
      <c r="G126" s="85" t="s">
        <v>1798</v>
      </c>
      <c r="H126" s="87"/>
    </row>
    <row r="127">
      <c r="A127" s="84">
        <v>4532574.0</v>
      </c>
      <c r="B127" s="85" t="s">
        <v>1790</v>
      </c>
      <c r="C127" s="85" t="s">
        <v>1802</v>
      </c>
      <c r="D127" s="86" t="s">
        <v>1802</v>
      </c>
      <c r="E127" s="85" t="s">
        <v>6054</v>
      </c>
      <c r="F127" s="86" t="s">
        <v>6054</v>
      </c>
      <c r="G127" s="85" t="s">
        <v>1798</v>
      </c>
      <c r="H127" s="87"/>
    </row>
    <row r="128">
      <c r="A128" s="84">
        <v>4532369.0</v>
      </c>
      <c r="B128" s="85" t="s">
        <v>1790</v>
      </c>
      <c r="C128" s="85" t="s">
        <v>1821</v>
      </c>
      <c r="D128" s="86" t="s">
        <v>1821</v>
      </c>
      <c r="E128" s="85" t="s">
        <v>6054</v>
      </c>
      <c r="F128" s="86" t="s">
        <v>6054</v>
      </c>
      <c r="G128" s="85" t="s">
        <v>1798</v>
      </c>
      <c r="H128" s="87"/>
    </row>
    <row r="129">
      <c r="A129" s="84">
        <v>4532161.0</v>
      </c>
      <c r="B129" s="85" t="s">
        <v>1790</v>
      </c>
      <c r="C129" s="85" t="s">
        <v>1793</v>
      </c>
      <c r="D129" s="86" t="s">
        <v>1793</v>
      </c>
      <c r="E129" s="85" t="s">
        <v>6054</v>
      </c>
      <c r="F129" s="86" t="s">
        <v>6054</v>
      </c>
      <c r="G129" s="85" t="s">
        <v>1798</v>
      </c>
      <c r="H129" s="87"/>
    </row>
    <row r="130">
      <c r="A130" s="84">
        <v>4532130.0</v>
      </c>
      <c r="B130" s="85" t="s">
        <v>1790</v>
      </c>
      <c r="C130" s="85" t="s">
        <v>1853</v>
      </c>
      <c r="D130" s="86" t="s">
        <v>1853</v>
      </c>
      <c r="E130" s="85" t="s">
        <v>6054</v>
      </c>
      <c r="F130" s="86" t="s">
        <v>6054</v>
      </c>
      <c r="G130" s="85" t="s">
        <v>1798</v>
      </c>
      <c r="H130" s="87"/>
    </row>
    <row r="131">
      <c r="A131" s="84">
        <v>4532123.0</v>
      </c>
      <c r="B131" s="85" t="s">
        <v>1790</v>
      </c>
      <c r="C131" s="85" t="s">
        <v>1827</v>
      </c>
      <c r="D131" s="86" t="s">
        <v>1827</v>
      </c>
      <c r="E131" s="85" t="s">
        <v>6054</v>
      </c>
      <c r="F131" s="86" t="s">
        <v>6054</v>
      </c>
      <c r="G131" s="85" t="s">
        <v>1798</v>
      </c>
      <c r="H131" s="87"/>
    </row>
    <row r="132">
      <c r="A132" s="84">
        <v>4532086.0</v>
      </c>
      <c r="B132" s="85" t="s">
        <v>1790</v>
      </c>
      <c r="C132" s="85" t="s">
        <v>1840</v>
      </c>
      <c r="D132" s="86" t="s">
        <v>1840</v>
      </c>
      <c r="E132" s="85" t="s">
        <v>6054</v>
      </c>
      <c r="F132" s="86" t="s">
        <v>6054</v>
      </c>
      <c r="G132" s="85" t="s">
        <v>1798</v>
      </c>
      <c r="H132" s="87"/>
    </row>
    <row r="133">
      <c r="A133" s="84">
        <v>4532062.0</v>
      </c>
      <c r="B133" s="85" t="s">
        <v>1790</v>
      </c>
      <c r="C133" s="85" t="s">
        <v>1860</v>
      </c>
      <c r="D133" s="86" t="s">
        <v>1860</v>
      </c>
      <c r="E133" s="85" t="s">
        <v>6054</v>
      </c>
      <c r="F133" s="86" t="s">
        <v>6054</v>
      </c>
      <c r="G133" s="85" t="s">
        <v>1798</v>
      </c>
      <c r="H133" s="87"/>
    </row>
    <row r="134">
      <c r="A134" s="84">
        <v>8.712000050146E12</v>
      </c>
      <c r="B134" s="85" t="s">
        <v>546</v>
      </c>
      <c r="C134" s="85" t="s">
        <v>1868</v>
      </c>
      <c r="D134" s="86" t="s">
        <v>1868</v>
      </c>
      <c r="E134" s="85" t="s">
        <v>6055</v>
      </c>
      <c r="F134" s="86" t="s">
        <v>6055</v>
      </c>
      <c r="G134" s="85" t="s">
        <v>573</v>
      </c>
      <c r="H134" s="87"/>
    </row>
    <row r="135">
      <c r="A135" s="84">
        <v>7.290010237685E12</v>
      </c>
      <c r="B135" s="85" t="s">
        <v>546</v>
      </c>
      <c r="C135" s="85" t="s">
        <v>1876</v>
      </c>
      <c r="D135" s="86" t="s">
        <v>1876</v>
      </c>
      <c r="E135" s="85" t="s">
        <v>6055</v>
      </c>
      <c r="F135" s="86" t="s">
        <v>6055</v>
      </c>
      <c r="G135" s="85" t="s">
        <v>573</v>
      </c>
      <c r="H135" s="87"/>
    </row>
    <row r="136">
      <c r="A136" s="84">
        <v>5.410228217732E12</v>
      </c>
      <c r="B136" s="85" t="s">
        <v>546</v>
      </c>
      <c r="C136" s="85" t="s">
        <v>4513</v>
      </c>
      <c r="D136" s="86" t="s">
        <v>4513</v>
      </c>
      <c r="E136" s="85" t="s">
        <v>6055</v>
      </c>
      <c r="F136" s="86" t="s">
        <v>6055</v>
      </c>
      <c r="G136" s="85" t="s">
        <v>573</v>
      </c>
      <c r="H136" s="87"/>
    </row>
    <row r="137">
      <c r="A137" s="84">
        <v>5.014379009972E12</v>
      </c>
      <c r="B137" s="85" t="s">
        <v>546</v>
      </c>
      <c r="C137" s="85" t="s">
        <v>542</v>
      </c>
      <c r="D137" s="86" t="s">
        <v>542</v>
      </c>
      <c r="E137" s="85" t="s">
        <v>6055</v>
      </c>
      <c r="F137" s="86" t="s">
        <v>6055</v>
      </c>
      <c r="G137" s="85" t="s">
        <v>573</v>
      </c>
      <c r="H137" s="87"/>
    </row>
    <row r="138">
      <c r="A138" s="84">
        <v>8464604.0</v>
      </c>
      <c r="B138" s="85" t="s">
        <v>546</v>
      </c>
      <c r="C138" s="85" t="s">
        <v>1882</v>
      </c>
      <c r="D138" s="86" t="s">
        <v>1882</v>
      </c>
      <c r="E138" s="85" t="s">
        <v>6055</v>
      </c>
      <c r="F138" s="86" t="s">
        <v>6055</v>
      </c>
      <c r="G138" s="85" t="s">
        <v>573</v>
      </c>
      <c r="H138" s="87"/>
    </row>
    <row r="139">
      <c r="A139" s="84">
        <v>8.39762002386E11</v>
      </c>
      <c r="B139" s="85" t="s">
        <v>1914</v>
      </c>
      <c r="C139" s="85" t="s">
        <v>1924</v>
      </c>
      <c r="D139" s="86" t="s">
        <v>1924</v>
      </c>
      <c r="E139" s="85" t="s">
        <v>6056</v>
      </c>
      <c r="F139" s="86" t="s">
        <v>6056</v>
      </c>
      <c r="G139" s="85" t="s">
        <v>573</v>
      </c>
      <c r="H139" s="87"/>
    </row>
    <row r="140">
      <c r="A140" s="84">
        <v>8.39762002379E11</v>
      </c>
      <c r="B140" s="85" t="s">
        <v>1914</v>
      </c>
      <c r="C140" s="85" t="s">
        <v>1936</v>
      </c>
      <c r="D140" s="86" t="s">
        <v>1936</v>
      </c>
      <c r="E140" s="85" t="s">
        <v>6056</v>
      </c>
      <c r="F140" s="86" t="s">
        <v>6056</v>
      </c>
      <c r="G140" s="85" t="s">
        <v>573</v>
      </c>
      <c r="H140" s="87"/>
    </row>
    <row r="141">
      <c r="A141" s="84">
        <v>8.39762000658E11</v>
      </c>
      <c r="B141" s="85" t="s">
        <v>1914</v>
      </c>
      <c r="C141" s="85" t="s">
        <v>1917</v>
      </c>
      <c r="D141" s="86" t="s">
        <v>1917</v>
      </c>
      <c r="E141" s="85" t="s">
        <v>6056</v>
      </c>
      <c r="F141" s="86" t="s">
        <v>6056</v>
      </c>
      <c r="G141" s="85" t="s">
        <v>573</v>
      </c>
      <c r="H141" s="87"/>
    </row>
    <row r="142">
      <c r="A142" s="84">
        <v>8.39762000641E11</v>
      </c>
      <c r="B142" s="85" t="s">
        <v>1914</v>
      </c>
      <c r="C142" s="85" t="s">
        <v>1930</v>
      </c>
      <c r="D142" s="86" t="s">
        <v>1930</v>
      </c>
      <c r="E142" s="85" t="s">
        <v>6056</v>
      </c>
      <c r="F142" s="86" t="s">
        <v>6056</v>
      </c>
      <c r="G142" s="85" t="s">
        <v>573</v>
      </c>
      <c r="H142" s="87"/>
    </row>
    <row r="143">
      <c r="A143" s="84">
        <v>6644527.0</v>
      </c>
      <c r="B143" s="85" t="s">
        <v>4654</v>
      </c>
      <c r="C143" s="85" t="s">
        <v>4675</v>
      </c>
      <c r="D143" s="86" t="s">
        <v>4675</v>
      </c>
      <c r="E143" s="85" t="s">
        <v>6057</v>
      </c>
      <c r="F143" s="86" t="s">
        <v>6057</v>
      </c>
      <c r="G143" s="85" t="s">
        <v>573</v>
      </c>
      <c r="H143" s="87"/>
    </row>
    <row r="144">
      <c r="A144" s="84">
        <v>6644510.0</v>
      </c>
      <c r="B144" s="85" t="s">
        <v>4654</v>
      </c>
      <c r="C144" s="85" t="s">
        <v>4657</v>
      </c>
      <c r="D144" s="86" t="s">
        <v>4657</v>
      </c>
      <c r="E144" s="85" t="s">
        <v>6057</v>
      </c>
      <c r="F144" s="86" t="s">
        <v>6057</v>
      </c>
      <c r="G144" s="85" t="s">
        <v>573</v>
      </c>
      <c r="H144" s="87"/>
    </row>
    <row r="145">
      <c r="A145" s="84">
        <v>7.501013122992E12</v>
      </c>
      <c r="B145" s="88" t="s">
        <v>1951</v>
      </c>
      <c r="C145" s="85" t="s">
        <v>1990</v>
      </c>
      <c r="D145" s="86" t="s">
        <v>1990</v>
      </c>
      <c r="E145" s="85" t="s">
        <v>6058</v>
      </c>
      <c r="F145" s="86" t="s">
        <v>6058</v>
      </c>
      <c r="G145" s="85" t="s">
        <v>573</v>
      </c>
      <c r="H145" s="87"/>
    </row>
    <row r="146">
      <c r="A146" s="84">
        <v>7.501013122114E12</v>
      </c>
      <c r="B146" s="88" t="s">
        <v>1951</v>
      </c>
      <c r="C146" s="85" t="s">
        <v>1960</v>
      </c>
      <c r="D146" s="86" t="s">
        <v>1960</v>
      </c>
      <c r="E146" s="85" t="s">
        <v>6058</v>
      </c>
      <c r="F146" s="86" t="s">
        <v>6058</v>
      </c>
      <c r="G146" s="85" t="s">
        <v>573</v>
      </c>
      <c r="H146" s="87"/>
    </row>
    <row r="147">
      <c r="A147" s="84">
        <v>7.501013122053E12</v>
      </c>
      <c r="B147" s="88" t="s">
        <v>1951</v>
      </c>
      <c r="C147" s="85" t="s">
        <v>1972</v>
      </c>
      <c r="D147" s="86" t="s">
        <v>1972</v>
      </c>
      <c r="E147" s="85" t="s">
        <v>6058</v>
      </c>
      <c r="F147" s="86" t="s">
        <v>6058</v>
      </c>
      <c r="G147" s="85" t="s">
        <v>573</v>
      </c>
      <c r="H147" s="87"/>
    </row>
    <row r="148">
      <c r="A148" s="84">
        <v>7.501013122039E12</v>
      </c>
      <c r="B148" s="88" t="s">
        <v>1951</v>
      </c>
      <c r="C148" s="85" t="s">
        <v>1966</v>
      </c>
      <c r="D148" s="86" t="s">
        <v>1966</v>
      </c>
      <c r="E148" s="85" t="s">
        <v>6058</v>
      </c>
      <c r="F148" s="86" t="s">
        <v>6058</v>
      </c>
      <c r="G148" s="85" t="s">
        <v>573</v>
      </c>
      <c r="H148" s="87"/>
    </row>
    <row r="149">
      <c r="A149" s="84">
        <v>7.501013101447E12</v>
      </c>
      <c r="B149" s="88" t="s">
        <v>1951</v>
      </c>
      <c r="C149" s="85" t="s">
        <v>2004</v>
      </c>
      <c r="D149" s="86" t="s">
        <v>2004</v>
      </c>
      <c r="E149" s="85" t="s">
        <v>6058</v>
      </c>
      <c r="F149" s="86" t="s">
        <v>6058</v>
      </c>
      <c r="G149" s="85" t="s">
        <v>573</v>
      </c>
      <c r="H149" s="87"/>
    </row>
    <row r="150">
      <c r="A150" s="84">
        <v>7.501013101393E12</v>
      </c>
      <c r="B150" s="88" t="s">
        <v>1951</v>
      </c>
      <c r="C150" s="85" t="s">
        <v>1984</v>
      </c>
      <c r="D150" s="86" t="s">
        <v>1984</v>
      </c>
      <c r="E150" s="85" t="s">
        <v>6058</v>
      </c>
      <c r="F150" s="86" t="s">
        <v>6058</v>
      </c>
      <c r="G150" s="85" t="s">
        <v>573</v>
      </c>
      <c r="H150" s="87"/>
    </row>
    <row r="151">
      <c r="A151" s="84">
        <v>7.501013101362E12</v>
      </c>
      <c r="B151" s="88" t="s">
        <v>1951</v>
      </c>
      <c r="C151" s="85" t="s">
        <v>1997</v>
      </c>
      <c r="D151" s="86" t="s">
        <v>1997</v>
      </c>
      <c r="E151" s="85" t="s">
        <v>6058</v>
      </c>
      <c r="F151" s="86" t="s">
        <v>6058</v>
      </c>
      <c r="G151" s="85" t="s">
        <v>573</v>
      </c>
      <c r="H151" s="87"/>
    </row>
    <row r="152">
      <c r="A152" s="84">
        <v>7.501013101355E12</v>
      </c>
      <c r="B152" s="88" t="s">
        <v>1951</v>
      </c>
      <c r="C152" s="85" t="s">
        <v>1954</v>
      </c>
      <c r="D152" s="86" t="s">
        <v>1954</v>
      </c>
      <c r="E152" s="85" t="s">
        <v>6058</v>
      </c>
      <c r="F152" s="86" t="s">
        <v>6058</v>
      </c>
      <c r="G152" s="85" t="s">
        <v>573</v>
      </c>
      <c r="H152" s="87"/>
    </row>
    <row r="153">
      <c r="A153" s="84">
        <v>7.501013101348E12</v>
      </c>
      <c r="B153" s="88" t="s">
        <v>1951</v>
      </c>
      <c r="C153" s="85" t="s">
        <v>1978</v>
      </c>
      <c r="D153" s="86" t="s">
        <v>1978</v>
      </c>
      <c r="E153" s="85" t="s">
        <v>6058</v>
      </c>
      <c r="F153" s="86" t="s">
        <v>6058</v>
      </c>
      <c r="G153" s="85" t="s">
        <v>573</v>
      </c>
      <c r="H153" s="87"/>
    </row>
    <row r="154">
      <c r="A154" s="84">
        <v>8464963.0</v>
      </c>
      <c r="B154" s="85" t="s">
        <v>2009</v>
      </c>
      <c r="C154" s="85" t="s">
        <v>2012</v>
      </c>
      <c r="D154" s="86" t="s">
        <v>2012</v>
      </c>
      <c r="E154" s="85" t="s">
        <v>6059</v>
      </c>
      <c r="F154" s="86" t="s">
        <v>6059</v>
      </c>
      <c r="G154" s="85" t="s">
        <v>573</v>
      </c>
      <c r="H154" s="87"/>
    </row>
    <row r="155">
      <c r="A155" s="84">
        <v>8464895.0</v>
      </c>
      <c r="B155" s="85" t="s">
        <v>2009</v>
      </c>
      <c r="C155" s="85" t="s">
        <v>2018</v>
      </c>
      <c r="D155" s="86" t="s">
        <v>2018</v>
      </c>
      <c r="E155" s="85" t="s">
        <v>6059</v>
      </c>
      <c r="F155" s="86" t="s">
        <v>6059</v>
      </c>
      <c r="G155" s="85" t="s">
        <v>573</v>
      </c>
      <c r="H155" s="87"/>
    </row>
    <row r="156">
      <c r="A156" s="84">
        <v>5.411081003654E12</v>
      </c>
      <c r="B156" s="85" t="s">
        <v>2045</v>
      </c>
      <c r="C156" s="85" t="s">
        <v>2042</v>
      </c>
      <c r="D156" s="86" t="s">
        <v>2042</v>
      </c>
      <c r="E156" s="85" t="s">
        <v>6060</v>
      </c>
      <c r="F156" s="86" t="s">
        <v>6060</v>
      </c>
      <c r="G156" s="85" t="s">
        <v>573</v>
      </c>
      <c r="H156" s="87"/>
    </row>
    <row r="157">
      <c r="A157" s="84">
        <v>110851.0</v>
      </c>
      <c r="B157" s="85" t="s">
        <v>2048</v>
      </c>
      <c r="C157" s="85" t="s">
        <v>2057</v>
      </c>
      <c r="D157" s="86" t="s">
        <v>2057</v>
      </c>
      <c r="E157" s="85" t="s">
        <v>6061</v>
      </c>
      <c r="F157" s="86" t="s">
        <v>6061</v>
      </c>
      <c r="G157" s="85" t="s">
        <v>113</v>
      </c>
      <c r="H157" s="87"/>
    </row>
    <row r="158">
      <c r="A158" s="84">
        <v>110844.0</v>
      </c>
      <c r="B158" s="85" t="s">
        <v>2048</v>
      </c>
      <c r="C158" s="85" t="s">
        <v>2051</v>
      </c>
      <c r="D158" s="86" t="s">
        <v>2051</v>
      </c>
      <c r="E158" s="85" t="s">
        <v>6061</v>
      </c>
      <c r="F158" s="86" t="s">
        <v>6061</v>
      </c>
      <c r="G158" s="85" t="s">
        <v>113</v>
      </c>
      <c r="H158" s="87"/>
    </row>
    <row r="159">
      <c r="A159" s="84">
        <v>1594230.0</v>
      </c>
      <c r="B159" s="85" t="s">
        <v>2154</v>
      </c>
      <c r="C159" s="85" t="s">
        <v>2165</v>
      </c>
      <c r="D159" s="86" t="s">
        <v>2165</v>
      </c>
      <c r="E159" s="85" t="s">
        <v>6062</v>
      </c>
      <c r="F159" s="86" t="s">
        <v>6062</v>
      </c>
      <c r="G159" s="85" t="s">
        <v>573</v>
      </c>
      <c r="H159" s="87"/>
    </row>
    <row r="160">
      <c r="A160" s="84">
        <v>284347.0</v>
      </c>
      <c r="B160" s="85" t="s">
        <v>2154</v>
      </c>
      <c r="C160" s="85" t="s">
        <v>2157</v>
      </c>
      <c r="D160" s="86" t="s">
        <v>2157</v>
      </c>
      <c r="E160" s="85" t="s">
        <v>6062</v>
      </c>
      <c r="F160" s="86" t="s">
        <v>6062</v>
      </c>
      <c r="G160" s="85" t="s">
        <v>573</v>
      </c>
      <c r="H160" s="87"/>
    </row>
    <row r="161">
      <c r="A161" s="84">
        <v>7.290111351327E12</v>
      </c>
      <c r="B161" s="85" t="s">
        <v>2210</v>
      </c>
      <c r="C161" s="85" t="s">
        <v>2245</v>
      </c>
      <c r="D161" s="86" t="s">
        <v>2245</v>
      </c>
      <c r="E161" s="85" t="s">
        <v>6063</v>
      </c>
      <c r="F161" s="86" t="s">
        <v>6063</v>
      </c>
      <c r="G161" s="85" t="s">
        <v>1798</v>
      </c>
      <c r="H161" s="87"/>
    </row>
    <row r="162">
      <c r="A162" s="84">
        <v>7.290003896141E12</v>
      </c>
      <c r="B162" s="85" t="s">
        <v>2210</v>
      </c>
      <c r="C162" s="85" t="s">
        <v>2208</v>
      </c>
      <c r="D162" s="86" t="s">
        <v>2208</v>
      </c>
      <c r="E162" s="85" t="s">
        <v>6063</v>
      </c>
      <c r="F162" s="86" t="s">
        <v>6063</v>
      </c>
      <c r="G162" s="85" t="s">
        <v>1798</v>
      </c>
      <c r="H162" s="87"/>
    </row>
    <row r="163">
      <c r="A163" s="84">
        <v>7.290003142699E12</v>
      </c>
      <c r="B163" s="85" t="s">
        <v>2210</v>
      </c>
      <c r="C163" s="85" t="s">
        <v>2256</v>
      </c>
      <c r="D163" s="86" t="s">
        <v>2256</v>
      </c>
      <c r="E163" s="85" t="s">
        <v>6063</v>
      </c>
      <c r="F163" s="86" t="s">
        <v>6063</v>
      </c>
      <c r="G163" s="85" t="s">
        <v>1798</v>
      </c>
      <c r="H163" s="87"/>
    </row>
    <row r="164">
      <c r="A164" s="84">
        <v>7.290000377209E12</v>
      </c>
      <c r="B164" s="85" t="s">
        <v>2210</v>
      </c>
      <c r="C164" s="85" t="s">
        <v>2240</v>
      </c>
      <c r="D164" s="86" t="s">
        <v>2240</v>
      </c>
      <c r="E164" s="85" t="s">
        <v>6063</v>
      </c>
      <c r="F164" s="86" t="s">
        <v>6063</v>
      </c>
      <c r="G164" s="85" t="s">
        <v>1798</v>
      </c>
      <c r="H164" s="87"/>
    </row>
    <row r="165">
      <c r="A165" s="84">
        <v>3145584.0</v>
      </c>
      <c r="B165" s="85" t="s">
        <v>2210</v>
      </c>
      <c r="C165" s="85" t="s">
        <v>2261</v>
      </c>
      <c r="D165" s="86" t="s">
        <v>2261</v>
      </c>
      <c r="E165" s="85" t="s">
        <v>6063</v>
      </c>
      <c r="F165" s="86" t="s">
        <v>6063</v>
      </c>
      <c r="G165" s="85" t="s">
        <v>1798</v>
      </c>
      <c r="H165" s="87"/>
    </row>
    <row r="166">
      <c r="A166" s="84">
        <v>3145577.0</v>
      </c>
      <c r="B166" s="89" t="s">
        <v>2210</v>
      </c>
      <c r="C166" s="84" t="s">
        <v>2267</v>
      </c>
      <c r="D166" s="86" t="s">
        <v>2267</v>
      </c>
      <c r="E166" s="85" t="s">
        <v>6063</v>
      </c>
      <c r="F166" s="86" t="s">
        <v>6063</v>
      </c>
      <c r="G166" s="85" t="s">
        <v>1798</v>
      </c>
      <c r="H166" s="87"/>
    </row>
    <row r="167">
      <c r="A167" s="84">
        <v>3145560.0</v>
      </c>
      <c r="B167" s="90" t="s">
        <v>2210</v>
      </c>
      <c r="C167" s="85" t="s">
        <v>2297</v>
      </c>
      <c r="D167" s="86" t="s">
        <v>2297</v>
      </c>
      <c r="E167" s="85" t="s">
        <v>6063</v>
      </c>
      <c r="F167" s="86" t="s">
        <v>6063</v>
      </c>
      <c r="G167" s="85" t="s">
        <v>1798</v>
      </c>
      <c r="H167" s="87"/>
    </row>
    <row r="168">
      <c r="A168" s="84">
        <v>3009336.0</v>
      </c>
      <c r="B168" s="85" t="s">
        <v>2210</v>
      </c>
      <c r="C168" s="85" t="s">
        <v>2227</v>
      </c>
      <c r="D168" s="86" t="s">
        <v>2227</v>
      </c>
      <c r="E168" s="85" t="s">
        <v>6063</v>
      </c>
      <c r="F168" s="86" t="s">
        <v>6063</v>
      </c>
      <c r="G168" s="85" t="s">
        <v>1798</v>
      </c>
      <c r="H168" s="87"/>
    </row>
    <row r="169">
      <c r="A169" s="84">
        <v>3009329.0</v>
      </c>
      <c r="B169" s="85" t="s">
        <v>2210</v>
      </c>
      <c r="C169" s="85" t="s">
        <v>2221</v>
      </c>
      <c r="D169" s="86" t="s">
        <v>2221</v>
      </c>
      <c r="E169" s="85" t="s">
        <v>6063</v>
      </c>
      <c r="F169" s="86" t="s">
        <v>6063</v>
      </c>
      <c r="G169" s="85" t="s">
        <v>1798</v>
      </c>
      <c r="H169" s="87"/>
    </row>
    <row r="170">
      <c r="A170" s="84">
        <v>3009312.0</v>
      </c>
      <c r="B170" s="85" t="s">
        <v>2210</v>
      </c>
      <c r="C170" s="85" t="s">
        <v>2273</v>
      </c>
      <c r="D170" s="86" t="s">
        <v>2273</v>
      </c>
      <c r="E170" s="85" t="s">
        <v>6063</v>
      </c>
      <c r="F170" s="86" t="s">
        <v>6063</v>
      </c>
      <c r="G170" s="85" t="s">
        <v>1798</v>
      </c>
      <c r="H170" s="87"/>
    </row>
    <row r="171">
      <c r="A171" s="84">
        <v>377452.0</v>
      </c>
      <c r="B171" s="85" t="s">
        <v>2210</v>
      </c>
      <c r="C171" s="85" t="s">
        <v>2302</v>
      </c>
      <c r="D171" s="86" t="s">
        <v>2302</v>
      </c>
      <c r="E171" s="85" t="s">
        <v>6063</v>
      </c>
      <c r="F171" s="86" t="s">
        <v>6063</v>
      </c>
      <c r="G171" s="85" t="s">
        <v>1798</v>
      </c>
      <c r="H171" s="87"/>
    </row>
    <row r="172">
      <c r="A172" s="84">
        <v>377445.0</v>
      </c>
      <c r="B172" s="85" t="s">
        <v>2210</v>
      </c>
      <c r="C172" s="85" t="s">
        <v>2250</v>
      </c>
      <c r="D172" s="86" t="s">
        <v>2250</v>
      </c>
      <c r="E172" s="85" t="s">
        <v>6063</v>
      </c>
      <c r="F172" s="86" t="s">
        <v>6063</v>
      </c>
      <c r="G172" s="85" t="s">
        <v>1798</v>
      </c>
      <c r="H172" s="87"/>
    </row>
    <row r="173">
      <c r="A173" s="84">
        <v>148939.0</v>
      </c>
      <c r="B173" s="85" t="s">
        <v>2210</v>
      </c>
      <c r="C173" s="85" t="s">
        <v>2214</v>
      </c>
      <c r="D173" s="86" t="s">
        <v>2214</v>
      </c>
      <c r="E173" s="85" t="s">
        <v>6063</v>
      </c>
      <c r="F173" s="86" t="s">
        <v>6063</v>
      </c>
      <c r="G173" s="85" t="s">
        <v>1798</v>
      </c>
      <c r="H173" s="87"/>
    </row>
    <row r="174">
      <c r="A174" s="84">
        <v>148748.0</v>
      </c>
      <c r="B174" s="89" t="s">
        <v>2210</v>
      </c>
      <c r="C174" s="84" t="s">
        <v>2285</v>
      </c>
      <c r="D174" s="86" t="s">
        <v>2285</v>
      </c>
      <c r="E174" s="85" t="s">
        <v>6063</v>
      </c>
      <c r="F174" s="86" t="s">
        <v>6063</v>
      </c>
      <c r="G174" s="85" t="s">
        <v>1798</v>
      </c>
      <c r="H174" s="87"/>
    </row>
    <row r="175">
      <c r="A175" s="84">
        <v>148618.0</v>
      </c>
      <c r="B175" s="89" t="s">
        <v>2210</v>
      </c>
      <c r="C175" s="84" t="s">
        <v>2234</v>
      </c>
      <c r="D175" s="86" t="s">
        <v>2234</v>
      </c>
      <c r="E175" s="85" t="s">
        <v>6063</v>
      </c>
      <c r="F175" s="86" t="s">
        <v>6063</v>
      </c>
      <c r="G175" s="85" t="s">
        <v>1798</v>
      </c>
      <c r="H175" s="87"/>
    </row>
    <row r="176">
      <c r="A176" s="84">
        <v>148489.0</v>
      </c>
      <c r="B176" s="89" t="s">
        <v>2210</v>
      </c>
      <c r="C176" s="84" t="s">
        <v>2201</v>
      </c>
      <c r="D176" s="86" t="s">
        <v>2201</v>
      </c>
      <c r="E176" s="85" t="s">
        <v>6063</v>
      </c>
      <c r="F176" s="86" t="s">
        <v>6063</v>
      </c>
      <c r="G176" s="85" t="s">
        <v>1798</v>
      </c>
      <c r="H176" s="87"/>
    </row>
    <row r="177">
      <c r="A177" s="84">
        <v>148380.0</v>
      </c>
      <c r="B177" s="90" t="s">
        <v>2210</v>
      </c>
      <c r="C177" s="85" t="s">
        <v>2279</v>
      </c>
      <c r="D177" s="86" t="s">
        <v>2279</v>
      </c>
      <c r="E177" s="85" t="s">
        <v>6063</v>
      </c>
      <c r="F177" s="86" t="s">
        <v>6063</v>
      </c>
      <c r="G177" s="85" t="s">
        <v>1798</v>
      </c>
      <c r="H177" s="87"/>
    </row>
    <row r="178">
      <c r="A178" s="84">
        <v>8464475.0</v>
      </c>
      <c r="B178" s="85" t="s">
        <v>6064</v>
      </c>
      <c r="C178" s="85" t="s">
        <v>2494</v>
      </c>
      <c r="D178" s="86" t="s">
        <v>2494</v>
      </c>
      <c r="E178" s="85" t="s">
        <v>6065</v>
      </c>
      <c r="F178" s="86" t="s">
        <v>6065</v>
      </c>
      <c r="G178" s="85" t="s">
        <v>573</v>
      </c>
      <c r="H178" s="87"/>
    </row>
    <row r="179">
      <c r="A179" s="84">
        <v>8464338.0</v>
      </c>
      <c r="B179" s="85" t="s">
        <v>6064</v>
      </c>
      <c r="C179" s="85" t="s">
        <v>2488</v>
      </c>
      <c r="D179" s="86" t="s">
        <v>2488</v>
      </c>
      <c r="E179" s="85" t="s">
        <v>6065</v>
      </c>
      <c r="F179" s="86" t="s">
        <v>6065</v>
      </c>
      <c r="G179" s="85" t="s">
        <v>573</v>
      </c>
      <c r="H179" s="87"/>
    </row>
    <row r="180">
      <c r="A180" s="84">
        <v>8464222.0</v>
      </c>
      <c r="B180" s="85" t="s">
        <v>6064</v>
      </c>
      <c r="C180" s="85" t="s">
        <v>2482</v>
      </c>
      <c r="D180" s="86" t="s">
        <v>2482</v>
      </c>
      <c r="E180" s="85" t="s">
        <v>6065</v>
      </c>
      <c r="F180" s="86" t="s">
        <v>6065</v>
      </c>
      <c r="G180" s="85" t="s">
        <v>573</v>
      </c>
      <c r="H180" s="87"/>
    </row>
    <row r="181">
      <c r="A181" s="84">
        <v>8464208.0</v>
      </c>
      <c r="B181" s="89" t="s">
        <v>6064</v>
      </c>
      <c r="C181" s="84" t="s">
        <v>2476</v>
      </c>
      <c r="D181" s="86" t="s">
        <v>2476</v>
      </c>
      <c r="E181" s="85" t="s">
        <v>6065</v>
      </c>
      <c r="F181" s="86" t="s">
        <v>6065</v>
      </c>
      <c r="G181" s="85" t="s">
        <v>573</v>
      </c>
      <c r="H181" s="87"/>
    </row>
    <row r="182">
      <c r="A182" s="84">
        <v>7.290012921032E12</v>
      </c>
      <c r="B182" s="89" t="s">
        <v>2499</v>
      </c>
      <c r="C182" s="84" t="s">
        <v>2508</v>
      </c>
      <c r="D182" s="86" t="s">
        <v>2508</v>
      </c>
      <c r="E182" s="85" t="s">
        <v>6066</v>
      </c>
      <c r="F182" s="86" t="s">
        <v>6066</v>
      </c>
      <c r="G182" s="85" t="s">
        <v>573</v>
      </c>
      <c r="H182" s="87"/>
    </row>
    <row r="183">
      <c r="A183" s="84">
        <v>7.290012921025E12</v>
      </c>
      <c r="B183" s="90" t="s">
        <v>2499</v>
      </c>
      <c r="C183" s="85" t="s">
        <v>2502</v>
      </c>
      <c r="D183" s="86" t="s">
        <v>2502</v>
      </c>
      <c r="E183" s="85" t="s">
        <v>6066</v>
      </c>
      <c r="F183" s="86" t="s">
        <v>6066</v>
      </c>
      <c r="G183" s="85" t="s">
        <v>573</v>
      </c>
      <c r="H183" s="87"/>
    </row>
    <row r="184">
      <c r="A184" s="84">
        <v>4.710068002798E12</v>
      </c>
      <c r="B184" s="89" t="s">
        <v>2569</v>
      </c>
      <c r="C184" s="84" t="s">
        <v>2566</v>
      </c>
      <c r="D184" s="86" t="s">
        <v>2566</v>
      </c>
      <c r="E184" s="85" t="s">
        <v>6067</v>
      </c>
      <c r="F184" s="86" t="s">
        <v>6067</v>
      </c>
      <c r="G184" s="85" t="s">
        <v>573</v>
      </c>
      <c r="H184" s="87"/>
    </row>
    <row r="185">
      <c r="A185" s="84">
        <v>4.710068001739E12</v>
      </c>
      <c r="B185" s="89" t="s">
        <v>2569</v>
      </c>
      <c r="C185" s="84" t="s">
        <v>2573</v>
      </c>
      <c r="D185" s="86" t="s">
        <v>2573</v>
      </c>
      <c r="E185" s="85" t="s">
        <v>6067</v>
      </c>
      <c r="F185" s="86" t="s">
        <v>6067</v>
      </c>
      <c r="G185" s="85" t="s">
        <v>573</v>
      </c>
      <c r="H185" s="87"/>
    </row>
    <row r="186">
      <c r="A186" s="84">
        <v>4.710068001715E12</v>
      </c>
      <c r="B186" s="89" t="s">
        <v>2569</v>
      </c>
      <c r="C186" s="84" t="s">
        <v>2585</v>
      </c>
      <c r="D186" s="86" t="s">
        <v>2585</v>
      </c>
      <c r="E186" s="85" t="s">
        <v>6067</v>
      </c>
      <c r="F186" s="86" t="s">
        <v>6067</v>
      </c>
      <c r="G186" s="85" t="s">
        <v>573</v>
      </c>
      <c r="H186" s="87"/>
    </row>
    <row r="187">
      <c r="A187" s="84">
        <v>4.710068001692E12</v>
      </c>
      <c r="B187" s="89" t="s">
        <v>2569</v>
      </c>
      <c r="C187" s="84" t="s">
        <v>2579</v>
      </c>
      <c r="D187" s="86" t="s">
        <v>2579</v>
      </c>
      <c r="E187" s="85" t="s">
        <v>6067</v>
      </c>
      <c r="F187" s="86" t="s">
        <v>6067</v>
      </c>
      <c r="G187" s="85" t="s">
        <v>573</v>
      </c>
      <c r="H187" s="87"/>
    </row>
    <row r="188">
      <c r="A188" s="84">
        <v>7.290017888972E12</v>
      </c>
      <c r="B188" s="90" t="s">
        <v>2678</v>
      </c>
      <c r="C188" s="85" t="s">
        <v>2675</v>
      </c>
      <c r="D188" s="86" t="s">
        <v>2675</v>
      </c>
      <c r="E188" s="85" t="s">
        <v>6068</v>
      </c>
      <c r="F188" s="86" t="s">
        <v>6068</v>
      </c>
      <c r="G188" s="85" t="s">
        <v>573</v>
      </c>
      <c r="H188" s="87"/>
    </row>
    <row r="189">
      <c r="A189" s="84">
        <v>688114.0</v>
      </c>
      <c r="B189" s="85" t="s">
        <v>2678</v>
      </c>
      <c r="C189" s="85" t="s">
        <v>2669</v>
      </c>
      <c r="D189" s="86" t="s">
        <v>2669</v>
      </c>
      <c r="E189" s="85" t="s">
        <v>6068</v>
      </c>
      <c r="F189" s="86" t="s">
        <v>6068</v>
      </c>
      <c r="G189" s="85" t="s">
        <v>573</v>
      </c>
      <c r="H189" s="87"/>
    </row>
    <row r="190">
      <c r="A190" s="84">
        <v>688084.0</v>
      </c>
      <c r="B190" s="85" t="s">
        <v>2678</v>
      </c>
      <c r="C190" s="85" t="s">
        <v>2662</v>
      </c>
      <c r="D190" s="86" t="s">
        <v>2662</v>
      </c>
      <c r="E190" s="85" t="s">
        <v>6068</v>
      </c>
      <c r="F190" s="86" t="s">
        <v>6068</v>
      </c>
      <c r="G190" s="85" t="s">
        <v>573</v>
      </c>
      <c r="H190" s="87"/>
    </row>
    <row r="191">
      <c r="A191" s="84">
        <v>7.290010237562E12</v>
      </c>
      <c r="B191" s="85" t="s">
        <v>2811</v>
      </c>
      <c r="C191" s="85" t="s">
        <v>2820</v>
      </c>
      <c r="D191" s="86" t="s">
        <v>2820</v>
      </c>
      <c r="E191" s="85" t="s">
        <v>6069</v>
      </c>
      <c r="F191" s="86" t="s">
        <v>6069</v>
      </c>
      <c r="G191" s="85" t="s">
        <v>573</v>
      </c>
      <c r="H191" s="87"/>
    </row>
    <row r="192">
      <c r="A192" s="84">
        <v>6764782.0</v>
      </c>
      <c r="B192" s="85" t="s">
        <v>2811</v>
      </c>
      <c r="C192" s="85" t="s">
        <v>2826</v>
      </c>
      <c r="D192" s="86" t="s">
        <v>2826</v>
      </c>
      <c r="E192" s="85" t="s">
        <v>6069</v>
      </c>
      <c r="F192" s="86" t="s">
        <v>6069</v>
      </c>
      <c r="G192" s="85" t="s">
        <v>573</v>
      </c>
      <c r="H192" s="87"/>
    </row>
    <row r="193">
      <c r="A193" s="84">
        <v>6764768.0</v>
      </c>
      <c r="B193" s="85" t="s">
        <v>2811</v>
      </c>
      <c r="C193" s="85" t="s">
        <v>2814</v>
      </c>
      <c r="D193" s="86" t="s">
        <v>2814</v>
      </c>
      <c r="E193" s="85" t="s">
        <v>6069</v>
      </c>
      <c r="F193" s="86" t="s">
        <v>6069</v>
      </c>
      <c r="G193" s="85" t="s">
        <v>573</v>
      </c>
      <c r="H193" s="87"/>
    </row>
    <row r="194">
      <c r="A194" s="84">
        <v>433745.0</v>
      </c>
      <c r="B194" s="91" t="s">
        <v>2811</v>
      </c>
      <c r="C194" s="85" t="s">
        <v>2832</v>
      </c>
      <c r="D194" s="86" t="s">
        <v>2832</v>
      </c>
      <c r="E194" s="85" t="s">
        <v>6069</v>
      </c>
      <c r="F194" s="86" t="s">
        <v>6069</v>
      </c>
      <c r="G194" s="85" t="s">
        <v>573</v>
      </c>
      <c r="H194" s="87"/>
    </row>
    <row r="195">
      <c r="A195" s="84">
        <v>5.060639129102E12</v>
      </c>
      <c r="B195" s="85" t="s">
        <v>488</v>
      </c>
      <c r="C195" s="85" t="s">
        <v>2851</v>
      </c>
      <c r="D195" s="86" t="s">
        <v>2851</v>
      </c>
      <c r="E195" s="85" t="s">
        <v>6070</v>
      </c>
      <c r="F195" s="86" t="s">
        <v>6070</v>
      </c>
      <c r="G195" s="85" t="s">
        <v>573</v>
      </c>
      <c r="H195" s="87"/>
    </row>
    <row r="196">
      <c r="A196" s="84">
        <v>5.060639128051E12</v>
      </c>
      <c r="B196" s="85" t="s">
        <v>488</v>
      </c>
      <c r="C196" s="85" t="s">
        <v>485</v>
      </c>
      <c r="D196" s="86" t="s">
        <v>485</v>
      </c>
      <c r="E196" s="85" t="s">
        <v>6070</v>
      </c>
      <c r="F196" s="86" t="s">
        <v>6070</v>
      </c>
      <c r="G196" s="85" t="s">
        <v>573</v>
      </c>
      <c r="H196" s="87"/>
    </row>
    <row r="197">
      <c r="A197" s="84">
        <v>5.060517886547E12</v>
      </c>
      <c r="B197" s="85" t="s">
        <v>488</v>
      </c>
      <c r="C197" s="85" t="s">
        <v>2839</v>
      </c>
      <c r="D197" s="86" t="s">
        <v>2839</v>
      </c>
      <c r="E197" s="85" t="s">
        <v>6070</v>
      </c>
      <c r="F197" s="86" t="s">
        <v>6070</v>
      </c>
      <c r="G197" s="85" t="s">
        <v>573</v>
      </c>
      <c r="H197" s="87"/>
    </row>
    <row r="198">
      <c r="A198" s="84">
        <v>5.060517886516E12</v>
      </c>
      <c r="B198" s="89" t="s">
        <v>488</v>
      </c>
      <c r="C198" s="84" t="s">
        <v>2857</v>
      </c>
      <c r="D198" s="86" t="s">
        <v>2857</v>
      </c>
      <c r="E198" s="85" t="s">
        <v>6070</v>
      </c>
      <c r="F198" s="86" t="s">
        <v>6070</v>
      </c>
      <c r="G198" s="85" t="s">
        <v>573</v>
      </c>
      <c r="H198" s="87"/>
    </row>
    <row r="199">
      <c r="A199" s="84">
        <v>5.060517886486E12</v>
      </c>
      <c r="B199" s="89" t="s">
        <v>488</v>
      </c>
      <c r="C199" s="84" t="s">
        <v>2845</v>
      </c>
      <c r="D199" s="86" t="s">
        <v>2845</v>
      </c>
      <c r="E199" s="85" t="s">
        <v>6070</v>
      </c>
      <c r="F199" s="86" t="s">
        <v>6070</v>
      </c>
      <c r="G199" s="85" t="s">
        <v>573</v>
      </c>
      <c r="H199" s="87"/>
    </row>
    <row r="200">
      <c r="A200" s="84">
        <v>6764478.0</v>
      </c>
      <c r="B200" s="89" t="s">
        <v>2992</v>
      </c>
      <c r="C200" s="84" t="s">
        <v>2995</v>
      </c>
      <c r="D200" s="86" t="s">
        <v>2995</v>
      </c>
      <c r="E200" s="85" t="s">
        <v>6042</v>
      </c>
      <c r="F200" s="86" t="s">
        <v>6042</v>
      </c>
      <c r="G200" s="85" t="s">
        <v>573</v>
      </c>
      <c r="H200" s="87"/>
    </row>
    <row r="201">
      <c r="A201" s="84">
        <v>7.290015493185E12</v>
      </c>
      <c r="B201" s="89" t="s">
        <v>3033</v>
      </c>
      <c r="C201" s="84" t="s">
        <v>5998</v>
      </c>
      <c r="D201" s="86" t="s">
        <v>5998</v>
      </c>
      <c r="E201" s="85" t="s">
        <v>6071</v>
      </c>
      <c r="F201" s="86" t="s">
        <v>6071</v>
      </c>
      <c r="G201" s="85" t="s">
        <v>573</v>
      </c>
      <c r="H201" s="87"/>
    </row>
    <row r="202">
      <c r="A202" s="84">
        <v>2331490.0</v>
      </c>
      <c r="B202" s="89" t="s">
        <v>3033</v>
      </c>
      <c r="C202" s="84" t="s">
        <v>3036</v>
      </c>
      <c r="D202" s="86" t="s">
        <v>3036</v>
      </c>
      <c r="E202" s="85" t="s">
        <v>6071</v>
      </c>
      <c r="F202" s="86" t="s">
        <v>6071</v>
      </c>
      <c r="G202" s="85" t="s">
        <v>573</v>
      </c>
      <c r="H202" s="87"/>
    </row>
    <row r="203">
      <c r="A203" s="84">
        <v>2331162.0</v>
      </c>
      <c r="B203" s="89" t="s">
        <v>3033</v>
      </c>
      <c r="C203" s="84" t="s">
        <v>3042</v>
      </c>
      <c r="D203" s="86" t="s">
        <v>3042</v>
      </c>
      <c r="E203" s="85" t="s">
        <v>6071</v>
      </c>
      <c r="F203" s="86" t="s">
        <v>6071</v>
      </c>
      <c r="G203" s="85" t="s">
        <v>573</v>
      </c>
      <c r="H203" s="87"/>
    </row>
    <row r="204">
      <c r="A204" s="84">
        <v>2331025.0</v>
      </c>
      <c r="B204" s="90" t="s">
        <v>3033</v>
      </c>
      <c r="C204" s="85" t="s">
        <v>3054</v>
      </c>
      <c r="D204" s="86" t="s">
        <v>3054</v>
      </c>
      <c r="E204" s="85" t="s">
        <v>6071</v>
      </c>
      <c r="F204" s="86" t="s">
        <v>6071</v>
      </c>
      <c r="G204" s="85" t="s">
        <v>573</v>
      </c>
      <c r="H204" s="87"/>
    </row>
    <row r="205">
      <c r="A205" s="84">
        <v>2331018.0</v>
      </c>
      <c r="B205" s="85" t="s">
        <v>3033</v>
      </c>
      <c r="C205" s="85" t="s">
        <v>3048</v>
      </c>
      <c r="D205" s="86" t="s">
        <v>3048</v>
      </c>
      <c r="E205" s="85" t="s">
        <v>6071</v>
      </c>
      <c r="F205" s="86" t="s">
        <v>6071</v>
      </c>
      <c r="G205" s="85" t="s">
        <v>573</v>
      </c>
      <c r="H205" s="87"/>
    </row>
    <row r="206">
      <c r="A206" s="84">
        <v>7.290015493208E12</v>
      </c>
      <c r="B206" s="85" t="s">
        <v>3099</v>
      </c>
      <c r="C206" s="85" t="s">
        <v>3096</v>
      </c>
      <c r="D206" s="86" t="s">
        <v>3096</v>
      </c>
      <c r="E206" s="85" t="s">
        <v>6072</v>
      </c>
      <c r="F206" s="86" t="s">
        <v>6072</v>
      </c>
      <c r="G206" s="85" t="s">
        <v>573</v>
      </c>
      <c r="H206" s="87"/>
    </row>
    <row r="207">
      <c r="A207" s="84">
        <v>7.290015493192E12</v>
      </c>
      <c r="B207" s="85" t="s">
        <v>3099</v>
      </c>
      <c r="C207" s="85" t="s">
        <v>3103</v>
      </c>
      <c r="D207" s="86" t="s">
        <v>3103</v>
      </c>
      <c r="E207" s="85" t="s">
        <v>6072</v>
      </c>
      <c r="F207" s="86" t="s">
        <v>6072</v>
      </c>
      <c r="G207" s="85" t="s">
        <v>573</v>
      </c>
      <c r="H207" s="87"/>
    </row>
    <row r="208">
      <c r="A208" s="84">
        <v>2331711.0</v>
      </c>
      <c r="B208" s="85" t="s">
        <v>3099</v>
      </c>
      <c r="C208" s="85" t="s">
        <v>3109</v>
      </c>
      <c r="D208" s="86" t="s">
        <v>3109</v>
      </c>
      <c r="E208" s="85" t="s">
        <v>6072</v>
      </c>
      <c r="F208" s="86" t="s">
        <v>6072</v>
      </c>
      <c r="G208" s="85" t="s">
        <v>573</v>
      </c>
      <c r="H208" s="87"/>
    </row>
    <row r="209">
      <c r="A209" s="84">
        <v>2331155.0</v>
      </c>
      <c r="B209" s="85" t="s">
        <v>3099</v>
      </c>
      <c r="C209" s="85" t="s">
        <v>3071</v>
      </c>
      <c r="D209" s="86" t="s">
        <v>3071</v>
      </c>
      <c r="E209" s="85" t="s">
        <v>6072</v>
      </c>
      <c r="F209" s="86" t="s">
        <v>6072</v>
      </c>
      <c r="G209" s="85" t="s">
        <v>573</v>
      </c>
      <c r="H209" s="87"/>
    </row>
    <row r="210">
      <c r="A210" s="84">
        <v>2331124.0</v>
      </c>
      <c r="B210" s="85" t="s">
        <v>3099</v>
      </c>
      <c r="C210" s="85" t="s">
        <v>3063</v>
      </c>
      <c r="D210" s="86" t="s">
        <v>3063</v>
      </c>
      <c r="E210" s="85" t="s">
        <v>6072</v>
      </c>
      <c r="F210" s="86" t="s">
        <v>6072</v>
      </c>
      <c r="G210" s="85" t="s">
        <v>573</v>
      </c>
      <c r="H210" s="87"/>
    </row>
    <row r="211">
      <c r="A211" s="84">
        <v>7.290112497932E12</v>
      </c>
      <c r="B211" s="85" t="s">
        <v>3114</v>
      </c>
      <c r="C211" s="85" t="s">
        <v>3117</v>
      </c>
      <c r="D211" s="86" t="s">
        <v>3117</v>
      </c>
      <c r="E211" s="85" t="s">
        <v>6073</v>
      </c>
      <c r="F211" s="86" t="s">
        <v>6073</v>
      </c>
      <c r="G211" s="85" t="s">
        <v>32</v>
      </c>
      <c r="H211" s="87"/>
    </row>
    <row r="212">
      <c r="A212" s="84">
        <v>7.290112495679E12</v>
      </c>
      <c r="B212" s="85" t="s">
        <v>3114</v>
      </c>
      <c r="C212" s="85" t="s">
        <v>5999</v>
      </c>
      <c r="D212" s="86" t="s">
        <v>5999</v>
      </c>
      <c r="E212" s="85" t="s">
        <v>6073</v>
      </c>
      <c r="F212" s="86" t="s">
        <v>6073</v>
      </c>
      <c r="G212" s="85" t="s">
        <v>32</v>
      </c>
      <c r="H212" s="87"/>
    </row>
    <row r="213">
      <c r="A213" s="84">
        <v>7.290011308858E12</v>
      </c>
      <c r="B213" s="85" t="s">
        <v>3114</v>
      </c>
      <c r="C213" s="85" t="s">
        <v>3124</v>
      </c>
      <c r="D213" s="86" t="s">
        <v>3124</v>
      </c>
      <c r="E213" s="85" t="s">
        <v>6073</v>
      </c>
      <c r="F213" s="86" t="s">
        <v>6073</v>
      </c>
      <c r="G213" s="85" t="s">
        <v>32</v>
      </c>
      <c r="H213" s="87"/>
    </row>
    <row r="214">
      <c r="A214" s="84">
        <v>5.201044009706E12</v>
      </c>
      <c r="B214" s="85" t="s">
        <v>3323</v>
      </c>
      <c r="C214" s="85" t="s">
        <v>3321</v>
      </c>
      <c r="D214" s="86" t="s">
        <v>3321</v>
      </c>
      <c r="E214" s="85" t="s">
        <v>6074</v>
      </c>
      <c r="F214" s="86" t="s">
        <v>6074</v>
      </c>
      <c r="G214" s="85" t="s">
        <v>1798</v>
      </c>
      <c r="H214" s="87"/>
    </row>
    <row r="215">
      <c r="A215" s="84">
        <v>7.290010237548E12</v>
      </c>
      <c r="B215" s="85" t="s">
        <v>3326</v>
      </c>
      <c r="C215" s="85" t="s">
        <v>3353</v>
      </c>
      <c r="D215" s="86" t="s">
        <v>3353</v>
      </c>
      <c r="E215" s="85" t="s">
        <v>6075</v>
      </c>
      <c r="F215" s="86" t="s">
        <v>6075</v>
      </c>
      <c r="G215" s="85" t="s">
        <v>573</v>
      </c>
      <c r="H215" s="87"/>
    </row>
    <row r="216">
      <c r="A216" s="84">
        <v>7.290010237531E12</v>
      </c>
      <c r="B216" s="85" t="s">
        <v>3326</v>
      </c>
      <c r="C216" s="85" t="s">
        <v>3335</v>
      </c>
      <c r="D216" s="86" t="s">
        <v>3335</v>
      </c>
      <c r="E216" s="85" t="s">
        <v>6075</v>
      </c>
      <c r="F216" s="86" t="s">
        <v>6075</v>
      </c>
      <c r="G216" s="85" t="s">
        <v>573</v>
      </c>
      <c r="H216" s="87"/>
    </row>
    <row r="217">
      <c r="A217" s="84">
        <v>8464406.0</v>
      </c>
      <c r="B217" s="85" t="s">
        <v>3326</v>
      </c>
      <c r="C217" s="85" t="s">
        <v>3359</v>
      </c>
      <c r="D217" s="86" t="s">
        <v>3359</v>
      </c>
      <c r="E217" s="85" t="s">
        <v>6075</v>
      </c>
      <c r="F217" s="86" t="s">
        <v>6075</v>
      </c>
      <c r="G217" s="85" t="s">
        <v>573</v>
      </c>
      <c r="H217" s="87"/>
    </row>
    <row r="218">
      <c r="A218" s="84">
        <v>433974.0</v>
      </c>
      <c r="B218" s="85" t="s">
        <v>3326</v>
      </c>
      <c r="C218" s="85" t="s">
        <v>3329</v>
      </c>
      <c r="D218" s="86" t="s">
        <v>3329</v>
      </c>
      <c r="E218" s="85" t="s">
        <v>6075</v>
      </c>
      <c r="F218" s="86" t="s">
        <v>6075</v>
      </c>
      <c r="G218" s="85" t="s">
        <v>573</v>
      </c>
      <c r="H218" s="87"/>
    </row>
    <row r="219">
      <c r="A219" s="84">
        <v>433684.0</v>
      </c>
      <c r="B219" s="85" t="s">
        <v>3326</v>
      </c>
      <c r="C219" s="85" t="s">
        <v>3347</v>
      </c>
      <c r="D219" s="86" t="s">
        <v>3347</v>
      </c>
      <c r="E219" s="85" t="s">
        <v>6075</v>
      </c>
      <c r="F219" s="86" t="s">
        <v>6075</v>
      </c>
      <c r="G219" s="85" t="s">
        <v>573</v>
      </c>
      <c r="H219" s="87"/>
    </row>
    <row r="220">
      <c r="A220" s="84">
        <v>135175.0</v>
      </c>
      <c r="B220" s="85" t="s">
        <v>3326</v>
      </c>
      <c r="C220" s="85" t="s">
        <v>3341</v>
      </c>
      <c r="D220" s="86" t="s">
        <v>3341</v>
      </c>
      <c r="E220" s="85" t="s">
        <v>6075</v>
      </c>
      <c r="F220" s="86" t="s">
        <v>6075</v>
      </c>
      <c r="G220" s="85" t="s">
        <v>573</v>
      </c>
      <c r="H220" s="87"/>
    </row>
    <row r="221">
      <c r="A221" s="84">
        <v>7.613036286008E12</v>
      </c>
      <c r="B221" s="85" t="s">
        <v>3371</v>
      </c>
      <c r="C221" s="85" t="s">
        <v>3381</v>
      </c>
      <c r="D221" s="86" t="s">
        <v>3381</v>
      </c>
      <c r="E221" s="85" t="s">
        <v>6076</v>
      </c>
      <c r="F221" s="86" t="s">
        <v>6076</v>
      </c>
      <c r="G221" s="85" t="s">
        <v>573</v>
      </c>
      <c r="H221" s="87"/>
    </row>
    <row r="222">
      <c r="A222" s="84">
        <v>7.613036280327E12</v>
      </c>
      <c r="B222" s="85" t="s">
        <v>3371</v>
      </c>
      <c r="C222" s="85" t="s">
        <v>3368</v>
      </c>
      <c r="D222" s="86" t="s">
        <v>3368</v>
      </c>
      <c r="E222" s="85" t="s">
        <v>6076</v>
      </c>
      <c r="F222" s="86" t="s">
        <v>6076</v>
      </c>
      <c r="G222" s="85" t="s">
        <v>573</v>
      </c>
      <c r="H222" s="87"/>
    </row>
    <row r="223">
      <c r="A223" s="84">
        <v>8464291.0</v>
      </c>
      <c r="B223" s="85" t="s">
        <v>3508</v>
      </c>
      <c r="C223" s="85" t="s">
        <v>3519</v>
      </c>
      <c r="D223" s="86" t="s">
        <v>3519</v>
      </c>
      <c r="E223" s="85" t="s">
        <v>6077</v>
      </c>
      <c r="F223" s="86" t="s">
        <v>6077</v>
      </c>
      <c r="G223" s="85" t="s">
        <v>573</v>
      </c>
      <c r="H223" s="85" t="s">
        <v>6078</v>
      </c>
    </row>
    <row r="224">
      <c r="A224" s="84">
        <v>8464284.0</v>
      </c>
      <c r="B224" s="85" t="s">
        <v>3508</v>
      </c>
      <c r="C224" s="85" t="s">
        <v>3515</v>
      </c>
      <c r="D224" s="86" t="s">
        <v>3515</v>
      </c>
      <c r="E224" s="85" t="s">
        <v>6077</v>
      </c>
      <c r="F224" s="86" t="s">
        <v>6077</v>
      </c>
      <c r="G224" s="85" t="s">
        <v>573</v>
      </c>
      <c r="H224" s="85" t="s">
        <v>6079</v>
      </c>
    </row>
    <row r="225">
      <c r="A225" s="84">
        <v>8464215.0</v>
      </c>
      <c r="B225" s="85" t="s">
        <v>3508</v>
      </c>
      <c r="C225" s="85" t="s">
        <v>6000</v>
      </c>
      <c r="D225" s="86" t="s">
        <v>6000</v>
      </c>
      <c r="E225" s="85" t="s">
        <v>6077</v>
      </c>
      <c r="F225" s="86" t="s">
        <v>6077</v>
      </c>
      <c r="G225" s="85" t="s">
        <v>573</v>
      </c>
      <c r="H225" s="85" t="s">
        <v>6080</v>
      </c>
    </row>
    <row r="226">
      <c r="A226" s="84">
        <v>8464192.0</v>
      </c>
      <c r="B226" s="85" t="s">
        <v>3508</v>
      </c>
      <c r="C226" s="85" t="s">
        <v>3511</v>
      </c>
      <c r="D226" s="86" t="s">
        <v>3511</v>
      </c>
      <c r="E226" s="85" t="s">
        <v>6077</v>
      </c>
      <c r="F226" s="86" t="s">
        <v>6077</v>
      </c>
      <c r="G226" s="85" t="s">
        <v>573</v>
      </c>
      <c r="H226" s="85" t="s">
        <v>6081</v>
      </c>
    </row>
    <row r="227">
      <c r="A227" s="84">
        <v>66431.0</v>
      </c>
      <c r="B227" s="85" t="s">
        <v>6082</v>
      </c>
      <c r="C227" s="85" t="s">
        <v>3534</v>
      </c>
      <c r="D227" s="86" t="s">
        <v>3534</v>
      </c>
      <c r="E227" s="85" t="s">
        <v>6083</v>
      </c>
      <c r="F227" s="86" t="s">
        <v>6083</v>
      </c>
      <c r="G227" s="85" t="s">
        <v>113</v>
      </c>
      <c r="H227" s="87"/>
    </row>
    <row r="228">
      <c r="A228" s="84">
        <v>7.29010665626E12</v>
      </c>
      <c r="B228" s="85" t="s">
        <v>3528</v>
      </c>
      <c r="C228" s="85" t="s">
        <v>3525</v>
      </c>
      <c r="D228" s="86" t="s">
        <v>3525</v>
      </c>
      <c r="E228" s="85" t="s">
        <v>6084</v>
      </c>
      <c r="F228" s="86" t="s">
        <v>6084</v>
      </c>
      <c r="G228" s="85" t="s">
        <v>113</v>
      </c>
      <c r="H228" s="87"/>
    </row>
    <row r="229">
      <c r="A229" s="84">
        <v>7.290110111564E12</v>
      </c>
      <c r="B229" s="85" t="s">
        <v>3539</v>
      </c>
      <c r="C229" s="85" t="s">
        <v>3542</v>
      </c>
      <c r="D229" s="86" t="s">
        <v>3542</v>
      </c>
      <c r="E229" s="85" t="s">
        <v>6085</v>
      </c>
      <c r="F229" s="86" t="s">
        <v>6085</v>
      </c>
      <c r="G229" s="85" t="s">
        <v>573</v>
      </c>
      <c r="H229" s="87"/>
    </row>
    <row r="230">
      <c r="A230" s="84">
        <v>7.290110111557E12</v>
      </c>
      <c r="B230" s="85" t="s">
        <v>3539</v>
      </c>
      <c r="C230" s="85" t="s">
        <v>3548</v>
      </c>
      <c r="D230" s="86" t="s">
        <v>3548</v>
      </c>
      <c r="E230" s="85" t="s">
        <v>6085</v>
      </c>
      <c r="F230" s="86" t="s">
        <v>6085</v>
      </c>
      <c r="G230" s="85" t="s">
        <v>573</v>
      </c>
      <c r="H230" s="87"/>
    </row>
    <row r="231">
      <c r="A231" s="84">
        <v>7.290110110475E12</v>
      </c>
      <c r="B231" s="85" t="s">
        <v>3727</v>
      </c>
      <c r="C231" s="85" t="s">
        <v>3820</v>
      </c>
      <c r="D231" s="86" t="s">
        <v>3820</v>
      </c>
      <c r="E231" s="85" t="s">
        <v>6086</v>
      </c>
      <c r="F231" s="86" t="s">
        <v>6086</v>
      </c>
      <c r="G231" s="85" t="s">
        <v>573</v>
      </c>
      <c r="H231" s="87"/>
    </row>
    <row r="232">
      <c r="A232" s="84">
        <v>7.290110110468E12</v>
      </c>
      <c r="B232" s="85" t="s">
        <v>3727</v>
      </c>
      <c r="C232" s="85" t="s">
        <v>3814</v>
      </c>
      <c r="D232" s="86" t="s">
        <v>3814</v>
      </c>
      <c r="E232" s="85" t="s">
        <v>6086</v>
      </c>
      <c r="F232" s="86" t="s">
        <v>6086</v>
      </c>
      <c r="G232" s="85" t="s">
        <v>573</v>
      </c>
      <c r="H232" s="87"/>
    </row>
    <row r="233">
      <c r="A233" s="84">
        <v>7.290013585684E12</v>
      </c>
      <c r="B233" s="85" t="s">
        <v>3750</v>
      </c>
      <c r="C233" s="85" t="s">
        <v>3760</v>
      </c>
      <c r="D233" s="86" t="s">
        <v>3760</v>
      </c>
      <c r="E233" s="85" t="s">
        <v>6087</v>
      </c>
      <c r="F233" s="86" t="s">
        <v>6087</v>
      </c>
      <c r="G233" s="85" t="s">
        <v>573</v>
      </c>
      <c r="H233" s="87"/>
    </row>
    <row r="234">
      <c r="A234" s="84">
        <v>7.290013585677E12</v>
      </c>
      <c r="B234" s="85" t="s">
        <v>3750</v>
      </c>
      <c r="C234" s="85" t="s">
        <v>3745</v>
      </c>
      <c r="D234" s="86" t="s">
        <v>3745</v>
      </c>
      <c r="E234" s="85" t="s">
        <v>6087</v>
      </c>
      <c r="F234" s="86" t="s">
        <v>6087</v>
      </c>
      <c r="G234" s="85" t="s">
        <v>573</v>
      </c>
      <c r="H234" s="87"/>
    </row>
    <row r="235">
      <c r="A235" s="84">
        <v>7.290013585653E12</v>
      </c>
      <c r="B235" s="85" t="s">
        <v>3727</v>
      </c>
      <c r="C235" s="85" t="s">
        <v>3754</v>
      </c>
      <c r="D235" s="86" t="s">
        <v>3754</v>
      </c>
      <c r="E235" s="85" t="s">
        <v>6086</v>
      </c>
      <c r="F235" s="86" t="s">
        <v>6086</v>
      </c>
      <c r="G235" s="85" t="s">
        <v>573</v>
      </c>
      <c r="H235" s="87"/>
    </row>
    <row r="236">
      <c r="A236" s="84">
        <v>7.290013153432E12</v>
      </c>
      <c r="B236" s="85" t="s">
        <v>3727</v>
      </c>
      <c r="C236" s="85" t="s">
        <v>3737</v>
      </c>
      <c r="D236" s="86" t="s">
        <v>3737</v>
      </c>
      <c r="E236" s="85" t="s">
        <v>6086</v>
      </c>
      <c r="F236" s="86" t="s">
        <v>6086</v>
      </c>
      <c r="G236" s="85" t="s">
        <v>573</v>
      </c>
      <c r="H236" s="87"/>
    </row>
    <row r="237">
      <c r="A237" s="84">
        <v>7.290011015374E12</v>
      </c>
      <c r="B237" s="85" t="s">
        <v>3727</v>
      </c>
      <c r="C237" s="85" t="s">
        <v>3772</v>
      </c>
      <c r="D237" s="86" t="s">
        <v>3772</v>
      </c>
      <c r="E237" s="85" t="s">
        <v>6086</v>
      </c>
      <c r="F237" s="86" t="s">
        <v>6086</v>
      </c>
      <c r="G237" s="85" t="s">
        <v>573</v>
      </c>
      <c r="H237" s="87"/>
    </row>
    <row r="238">
      <c r="A238" s="84">
        <v>5604133.0</v>
      </c>
      <c r="B238" s="85" t="s">
        <v>3727</v>
      </c>
      <c r="C238" s="85" t="s">
        <v>3802</v>
      </c>
      <c r="D238" s="86" t="s">
        <v>3802</v>
      </c>
      <c r="E238" s="85" t="s">
        <v>6086</v>
      </c>
      <c r="F238" s="86" t="s">
        <v>6086</v>
      </c>
      <c r="G238" s="85" t="s">
        <v>573</v>
      </c>
      <c r="H238" s="87"/>
    </row>
    <row r="239">
      <c r="A239" s="84">
        <v>4423353.0</v>
      </c>
      <c r="B239" s="85" t="s">
        <v>3727</v>
      </c>
      <c r="C239" s="85" t="s">
        <v>3731</v>
      </c>
      <c r="D239" s="86" t="s">
        <v>3731</v>
      </c>
      <c r="E239" s="85" t="s">
        <v>6086</v>
      </c>
      <c r="F239" s="86" t="s">
        <v>6086</v>
      </c>
      <c r="G239" s="85" t="s">
        <v>573</v>
      </c>
      <c r="H239" s="87"/>
    </row>
    <row r="240">
      <c r="A240" s="84">
        <v>3667369.0</v>
      </c>
      <c r="B240" s="85" t="s">
        <v>3727</v>
      </c>
      <c r="C240" s="85" t="s">
        <v>3832</v>
      </c>
      <c r="D240" s="86" t="s">
        <v>3832</v>
      </c>
      <c r="E240" s="85" t="s">
        <v>6086</v>
      </c>
      <c r="F240" s="86" t="s">
        <v>6086</v>
      </c>
      <c r="G240" s="85" t="s">
        <v>573</v>
      </c>
      <c r="H240" s="87"/>
    </row>
    <row r="241">
      <c r="A241" s="84">
        <v>2871477.0</v>
      </c>
      <c r="B241" s="85" t="s">
        <v>3727</v>
      </c>
      <c r="C241" s="85" t="s">
        <v>3790</v>
      </c>
      <c r="D241" s="86" t="s">
        <v>3790</v>
      </c>
      <c r="E241" s="85" t="s">
        <v>6086</v>
      </c>
      <c r="F241" s="86" t="s">
        <v>6086</v>
      </c>
      <c r="G241" s="85" t="s">
        <v>573</v>
      </c>
      <c r="H241" s="87"/>
    </row>
    <row r="242">
      <c r="A242" s="84">
        <v>2871460.0</v>
      </c>
      <c r="B242" s="85" t="s">
        <v>3727</v>
      </c>
      <c r="C242" s="85" t="s">
        <v>3808</v>
      </c>
      <c r="D242" s="86" t="s">
        <v>3808</v>
      </c>
      <c r="E242" s="85" t="s">
        <v>6086</v>
      </c>
      <c r="F242" s="86" t="s">
        <v>6086</v>
      </c>
      <c r="G242" s="85" t="s">
        <v>573</v>
      </c>
      <c r="H242" s="87"/>
    </row>
    <row r="243">
      <c r="A243" s="84">
        <v>2871446.0</v>
      </c>
      <c r="B243" s="85" t="s">
        <v>3727</v>
      </c>
      <c r="C243" s="85" t="s">
        <v>3778</v>
      </c>
      <c r="D243" s="86" t="s">
        <v>3778</v>
      </c>
      <c r="E243" s="85" t="s">
        <v>6086</v>
      </c>
      <c r="F243" s="86" t="s">
        <v>6086</v>
      </c>
      <c r="G243" s="85" t="s">
        <v>573</v>
      </c>
      <c r="H243" s="87"/>
    </row>
    <row r="244">
      <c r="A244" s="84">
        <v>1594391.0</v>
      </c>
      <c r="B244" s="85" t="s">
        <v>3727</v>
      </c>
      <c r="C244" s="85" t="s">
        <v>3784</v>
      </c>
      <c r="D244" s="86" t="s">
        <v>3784</v>
      </c>
      <c r="E244" s="85" t="s">
        <v>6086</v>
      </c>
      <c r="F244" s="86" t="s">
        <v>6086</v>
      </c>
      <c r="G244" s="85" t="s">
        <v>573</v>
      </c>
      <c r="H244" s="87"/>
    </row>
    <row r="245">
      <c r="A245" s="84">
        <v>1594384.0</v>
      </c>
      <c r="B245" s="85" t="s">
        <v>3727</v>
      </c>
      <c r="C245" s="85" t="s">
        <v>3796</v>
      </c>
      <c r="D245" s="86" t="s">
        <v>3796</v>
      </c>
      <c r="E245" s="85" t="s">
        <v>6086</v>
      </c>
      <c r="F245" s="86" t="s">
        <v>6086</v>
      </c>
      <c r="G245" s="85" t="s">
        <v>573</v>
      </c>
      <c r="H245" s="87"/>
    </row>
    <row r="246">
      <c r="A246" s="84">
        <v>1594377.0</v>
      </c>
      <c r="B246" s="85" t="s">
        <v>3727</v>
      </c>
      <c r="C246" s="85" t="s">
        <v>3826</v>
      </c>
      <c r="D246" s="86" t="s">
        <v>3826</v>
      </c>
      <c r="E246" s="85" t="s">
        <v>6086</v>
      </c>
      <c r="F246" s="86" t="s">
        <v>6086</v>
      </c>
      <c r="G246" s="85" t="s">
        <v>573</v>
      </c>
      <c r="H246" s="87"/>
    </row>
    <row r="247">
      <c r="A247" s="84">
        <v>377612.0</v>
      </c>
      <c r="B247" s="85" t="s">
        <v>3727</v>
      </c>
      <c r="C247" s="85" t="s">
        <v>3766</v>
      </c>
      <c r="D247" s="86" t="s">
        <v>3766</v>
      </c>
      <c r="E247" s="85" t="s">
        <v>6086</v>
      </c>
      <c r="F247" s="86" t="s">
        <v>6086</v>
      </c>
      <c r="G247" s="85" t="s">
        <v>573</v>
      </c>
      <c r="H247" s="87"/>
    </row>
    <row r="248">
      <c r="A248" s="84">
        <v>1045688.0</v>
      </c>
      <c r="B248" s="85" t="s">
        <v>3843</v>
      </c>
      <c r="C248" s="85" t="s">
        <v>3858</v>
      </c>
      <c r="D248" s="86" t="s">
        <v>3858</v>
      </c>
      <c r="E248" s="85" t="s">
        <v>6088</v>
      </c>
      <c r="F248" s="86" t="s">
        <v>6088</v>
      </c>
      <c r="G248" s="85" t="s">
        <v>573</v>
      </c>
      <c r="H248" s="87"/>
    </row>
    <row r="249">
      <c r="A249" s="84">
        <v>1045657.0</v>
      </c>
      <c r="B249" s="85" t="s">
        <v>3843</v>
      </c>
      <c r="C249" s="85" t="s">
        <v>3852</v>
      </c>
      <c r="D249" s="86" t="s">
        <v>3852</v>
      </c>
      <c r="E249" s="85" t="s">
        <v>6088</v>
      </c>
      <c r="F249" s="86" t="s">
        <v>6088</v>
      </c>
      <c r="G249" s="85" t="s">
        <v>573</v>
      </c>
      <c r="H249" s="87"/>
    </row>
    <row r="250">
      <c r="A250" s="84">
        <v>1045633.0</v>
      </c>
      <c r="B250" s="85" t="s">
        <v>3843</v>
      </c>
      <c r="C250" s="85" t="s">
        <v>3846</v>
      </c>
      <c r="D250" s="86" t="s">
        <v>3846</v>
      </c>
      <c r="E250" s="85" t="s">
        <v>6088</v>
      </c>
      <c r="F250" s="86" t="s">
        <v>6088</v>
      </c>
      <c r="G250" s="85" t="s">
        <v>573</v>
      </c>
      <c r="H250" s="87"/>
    </row>
    <row r="251">
      <c r="A251" s="84">
        <v>3.8000845253E10</v>
      </c>
      <c r="B251" s="85" t="s">
        <v>3863</v>
      </c>
      <c r="C251" s="85" t="s">
        <v>3877</v>
      </c>
      <c r="D251" s="86" t="s">
        <v>3877</v>
      </c>
      <c r="E251" s="85" t="s">
        <v>6089</v>
      </c>
      <c r="F251" s="86" t="s">
        <v>6089</v>
      </c>
      <c r="G251" s="85" t="s">
        <v>113</v>
      </c>
      <c r="H251" s="87"/>
    </row>
    <row r="252">
      <c r="A252" s="84">
        <v>3.8000845246E10</v>
      </c>
      <c r="B252" s="85" t="s">
        <v>3863</v>
      </c>
      <c r="C252" s="85" t="s">
        <v>3892</v>
      </c>
      <c r="D252" s="86" t="s">
        <v>3892</v>
      </c>
      <c r="E252" s="85" t="s">
        <v>6089</v>
      </c>
      <c r="F252" s="86" t="s">
        <v>6089</v>
      </c>
      <c r="G252" s="85" t="s">
        <v>113</v>
      </c>
      <c r="H252" s="87"/>
    </row>
    <row r="253">
      <c r="A253" s="84">
        <v>3.8000183713E10</v>
      </c>
      <c r="B253" s="85" t="s">
        <v>3863</v>
      </c>
      <c r="C253" s="85" t="s">
        <v>3866</v>
      </c>
      <c r="D253" s="86" t="s">
        <v>3866</v>
      </c>
      <c r="E253" s="85" t="s">
        <v>6089</v>
      </c>
      <c r="F253" s="86" t="s">
        <v>6089</v>
      </c>
      <c r="G253" s="85" t="s">
        <v>113</v>
      </c>
      <c r="H253" s="87"/>
    </row>
    <row r="254">
      <c r="A254" s="84">
        <v>3.800018369E10</v>
      </c>
      <c r="B254" s="85" t="s">
        <v>3863</v>
      </c>
      <c r="C254" s="85" t="s">
        <v>3882</v>
      </c>
      <c r="D254" s="86" t="s">
        <v>3882</v>
      </c>
      <c r="E254" s="85" t="s">
        <v>6089</v>
      </c>
      <c r="F254" s="86" t="s">
        <v>6089</v>
      </c>
      <c r="G254" s="85" t="s">
        <v>113</v>
      </c>
      <c r="H254" s="87"/>
    </row>
    <row r="255">
      <c r="A255" s="84">
        <v>3.800013843E10</v>
      </c>
      <c r="B255" s="85" t="s">
        <v>3863</v>
      </c>
      <c r="C255" s="85" t="s">
        <v>3872</v>
      </c>
      <c r="D255" s="86" t="s">
        <v>3872</v>
      </c>
      <c r="E255" s="85" t="s">
        <v>6089</v>
      </c>
      <c r="F255" s="86" t="s">
        <v>6089</v>
      </c>
      <c r="G255" s="85" t="s">
        <v>113</v>
      </c>
      <c r="H255" s="87"/>
    </row>
    <row r="256">
      <c r="A256" s="84">
        <v>3.8000138416E10</v>
      </c>
      <c r="B256" s="85" t="s">
        <v>3863</v>
      </c>
      <c r="C256" s="85" t="s">
        <v>3887</v>
      </c>
      <c r="D256" s="86" t="s">
        <v>3887</v>
      </c>
      <c r="E256" s="85" t="s">
        <v>6089</v>
      </c>
      <c r="F256" s="86" t="s">
        <v>6089</v>
      </c>
      <c r="G256" s="85" t="s">
        <v>113</v>
      </c>
      <c r="H256" s="87"/>
    </row>
    <row r="257">
      <c r="A257" s="84">
        <v>9.01628E7</v>
      </c>
      <c r="B257" s="85" t="s">
        <v>3950</v>
      </c>
      <c r="C257" s="85" t="s">
        <v>3947</v>
      </c>
      <c r="D257" s="86" t="s">
        <v>3947</v>
      </c>
      <c r="E257" s="85" t="s">
        <v>6090</v>
      </c>
      <c r="F257" s="86" t="s">
        <v>6090</v>
      </c>
      <c r="G257" s="85" t="s">
        <v>573</v>
      </c>
      <c r="H257" s="87"/>
    </row>
    <row r="258">
      <c r="A258" s="84">
        <v>9.0162602E7</v>
      </c>
      <c r="B258" s="85" t="s">
        <v>3950</v>
      </c>
      <c r="C258" s="85" t="s">
        <v>3942</v>
      </c>
      <c r="D258" s="86" t="s">
        <v>3942</v>
      </c>
      <c r="E258" s="85" t="s">
        <v>6090</v>
      </c>
      <c r="F258" s="86" t="s">
        <v>6090</v>
      </c>
      <c r="G258" s="85" t="s">
        <v>573</v>
      </c>
      <c r="H258" s="87"/>
    </row>
    <row r="259">
      <c r="A259" s="84">
        <v>8464505.0</v>
      </c>
      <c r="B259" s="85" t="s">
        <v>6091</v>
      </c>
      <c r="C259" s="85" t="s">
        <v>4044</v>
      </c>
      <c r="D259" s="86" t="s">
        <v>4044</v>
      </c>
      <c r="E259" s="85" t="s">
        <v>6092</v>
      </c>
      <c r="F259" s="86" t="s">
        <v>6092</v>
      </c>
      <c r="G259" s="85" t="s">
        <v>573</v>
      </c>
      <c r="H259" s="87"/>
    </row>
    <row r="260">
      <c r="A260" s="84">
        <v>8.002270846472E12</v>
      </c>
      <c r="B260" s="85" t="s">
        <v>4055</v>
      </c>
      <c r="C260" s="85" t="s">
        <v>4052</v>
      </c>
      <c r="D260" s="86" t="s">
        <v>4052</v>
      </c>
      <c r="E260" s="85" t="s">
        <v>6093</v>
      </c>
      <c r="F260" s="86" t="s">
        <v>6093</v>
      </c>
      <c r="G260" s="85" t="s">
        <v>573</v>
      </c>
      <c r="H260" s="87"/>
    </row>
    <row r="261">
      <c r="A261" s="84">
        <v>8.850389115336E12</v>
      </c>
      <c r="B261" s="85" t="s">
        <v>4058</v>
      </c>
      <c r="C261" s="85" t="s">
        <v>4067</v>
      </c>
      <c r="D261" s="86" t="s">
        <v>4067</v>
      </c>
      <c r="E261" s="85" t="s">
        <v>6094</v>
      </c>
      <c r="F261" s="86" t="s">
        <v>6094</v>
      </c>
      <c r="G261" s="85" t="s">
        <v>573</v>
      </c>
      <c r="H261" s="87"/>
    </row>
    <row r="262">
      <c r="A262" s="84">
        <v>8.850389115312E12</v>
      </c>
      <c r="B262" s="85" t="s">
        <v>4058</v>
      </c>
      <c r="C262" s="85" t="s">
        <v>4061</v>
      </c>
      <c r="D262" s="86" t="s">
        <v>4061</v>
      </c>
      <c r="E262" s="85" t="s">
        <v>6094</v>
      </c>
      <c r="F262" s="86" t="s">
        <v>6094</v>
      </c>
      <c r="G262" s="85" t="s">
        <v>573</v>
      </c>
      <c r="H262" s="87"/>
    </row>
    <row r="263">
      <c r="A263" s="84">
        <v>8.850389105849E12</v>
      </c>
      <c r="B263" s="85" t="s">
        <v>4058</v>
      </c>
      <c r="C263" s="85" t="s">
        <v>4091</v>
      </c>
      <c r="D263" s="86" t="s">
        <v>4091</v>
      </c>
      <c r="E263" s="85" t="s">
        <v>6094</v>
      </c>
      <c r="F263" s="86" t="s">
        <v>6094</v>
      </c>
      <c r="G263" s="85" t="s">
        <v>573</v>
      </c>
      <c r="H263" s="87"/>
    </row>
    <row r="264">
      <c r="A264" s="84">
        <v>8.850389105832E12</v>
      </c>
      <c r="B264" s="85" t="s">
        <v>4058</v>
      </c>
      <c r="C264" s="85" t="s">
        <v>4073</v>
      </c>
      <c r="D264" s="86" t="s">
        <v>4073</v>
      </c>
      <c r="E264" s="85" t="s">
        <v>6094</v>
      </c>
      <c r="F264" s="86" t="s">
        <v>6094</v>
      </c>
      <c r="G264" s="85" t="s">
        <v>573</v>
      </c>
      <c r="H264" s="87"/>
    </row>
    <row r="265">
      <c r="A265" s="84">
        <v>8.850389105825E12</v>
      </c>
      <c r="B265" s="85" t="s">
        <v>4058</v>
      </c>
      <c r="C265" s="85" t="s">
        <v>4097</v>
      </c>
      <c r="D265" s="86" t="s">
        <v>4097</v>
      </c>
      <c r="E265" s="85" t="s">
        <v>6094</v>
      </c>
      <c r="F265" s="86" t="s">
        <v>6094</v>
      </c>
      <c r="G265" s="85" t="s">
        <v>573</v>
      </c>
      <c r="H265" s="87"/>
    </row>
    <row r="266">
      <c r="A266" s="84">
        <v>8.850389104637E12</v>
      </c>
      <c r="B266" s="85" t="s">
        <v>4058</v>
      </c>
      <c r="C266" s="85" t="s">
        <v>4103</v>
      </c>
      <c r="D266" s="86" t="s">
        <v>4103</v>
      </c>
      <c r="E266" s="85" t="s">
        <v>6094</v>
      </c>
      <c r="F266" s="86" t="s">
        <v>6094</v>
      </c>
      <c r="G266" s="85" t="s">
        <v>573</v>
      </c>
      <c r="H266" s="87"/>
    </row>
    <row r="267">
      <c r="A267" s="84">
        <v>8.850389103128E12</v>
      </c>
      <c r="B267" s="85" t="s">
        <v>4058</v>
      </c>
      <c r="C267" s="85" t="s">
        <v>4085</v>
      </c>
      <c r="D267" s="86" t="s">
        <v>4085</v>
      </c>
      <c r="E267" s="85" t="s">
        <v>6094</v>
      </c>
      <c r="F267" s="86" t="s">
        <v>6094</v>
      </c>
      <c r="G267" s="85" t="s">
        <v>573</v>
      </c>
      <c r="H267" s="87"/>
    </row>
    <row r="268">
      <c r="A268" s="84">
        <v>8.850389103111E12</v>
      </c>
      <c r="B268" s="85" t="s">
        <v>4058</v>
      </c>
      <c r="C268" s="85" t="s">
        <v>4079</v>
      </c>
      <c r="D268" s="86" t="s">
        <v>4079</v>
      </c>
      <c r="E268" s="85" t="s">
        <v>6094</v>
      </c>
      <c r="F268" s="86" t="s">
        <v>6094</v>
      </c>
      <c r="G268" s="85" t="s">
        <v>573</v>
      </c>
      <c r="H268" s="87"/>
    </row>
    <row r="269">
      <c r="A269" s="84">
        <v>7.290018471111E12</v>
      </c>
      <c r="B269" s="85" t="s">
        <v>4108</v>
      </c>
      <c r="C269" s="85" t="s">
        <v>4210</v>
      </c>
      <c r="D269" s="86" t="s">
        <v>4210</v>
      </c>
      <c r="E269" s="85" t="s">
        <v>6095</v>
      </c>
      <c r="F269" s="86" t="s">
        <v>6095</v>
      </c>
      <c r="G269" s="85" t="s">
        <v>573</v>
      </c>
      <c r="H269" s="87"/>
    </row>
    <row r="270">
      <c r="A270" s="84">
        <v>7.29001788888E12</v>
      </c>
      <c r="B270" s="85" t="s">
        <v>4108</v>
      </c>
      <c r="C270" s="85" t="s">
        <v>4177</v>
      </c>
      <c r="D270" s="86" t="s">
        <v>4177</v>
      </c>
      <c r="E270" s="85" t="s">
        <v>6095</v>
      </c>
      <c r="F270" s="86" t="s">
        <v>6095</v>
      </c>
      <c r="G270" s="85" t="s">
        <v>573</v>
      </c>
      <c r="H270" s="87"/>
    </row>
    <row r="271">
      <c r="A271" s="84">
        <v>7.290017888866E12</v>
      </c>
      <c r="B271" s="85" t="s">
        <v>4108</v>
      </c>
      <c r="C271" s="85" t="s">
        <v>4111</v>
      </c>
      <c r="D271" s="86" t="s">
        <v>4111</v>
      </c>
      <c r="E271" s="85" t="s">
        <v>6095</v>
      </c>
      <c r="F271" s="86" t="s">
        <v>6095</v>
      </c>
      <c r="G271" s="85" t="s">
        <v>573</v>
      </c>
      <c r="H271" s="87"/>
    </row>
    <row r="272">
      <c r="A272" s="84">
        <v>7.290017888859E12</v>
      </c>
      <c r="B272" s="85" t="s">
        <v>4108</v>
      </c>
      <c r="C272" s="85" t="s">
        <v>4252</v>
      </c>
      <c r="D272" s="86" t="s">
        <v>4252</v>
      </c>
      <c r="E272" s="85" t="s">
        <v>6095</v>
      </c>
      <c r="F272" s="86" t="s">
        <v>6095</v>
      </c>
      <c r="G272" s="85" t="s">
        <v>573</v>
      </c>
      <c r="H272" s="87"/>
    </row>
    <row r="273">
      <c r="A273" s="84">
        <v>7.290017888842E12</v>
      </c>
      <c r="B273" s="85" t="s">
        <v>4108</v>
      </c>
      <c r="C273" s="85" t="s">
        <v>4216</v>
      </c>
      <c r="D273" s="86" t="s">
        <v>4216</v>
      </c>
      <c r="E273" s="85" t="s">
        <v>6095</v>
      </c>
      <c r="F273" s="86" t="s">
        <v>6095</v>
      </c>
      <c r="G273" s="85" t="s">
        <v>573</v>
      </c>
      <c r="H273" s="87"/>
    </row>
    <row r="274">
      <c r="A274" s="84">
        <v>7.290017888729E12</v>
      </c>
      <c r="B274" s="85" t="s">
        <v>4108</v>
      </c>
      <c r="C274" s="85" t="s">
        <v>4222</v>
      </c>
      <c r="D274" s="86" t="s">
        <v>4222</v>
      </c>
      <c r="E274" s="85" t="s">
        <v>6095</v>
      </c>
      <c r="F274" s="86" t="s">
        <v>6095</v>
      </c>
      <c r="G274" s="85" t="s">
        <v>573</v>
      </c>
      <c r="H274" s="87"/>
    </row>
    <row r="275">
      <c r="A275" s="84">
        <v>7.290017023502E12</v>
      </c>
      <c r="B275" s="85" t="s">
        <v>4108</v>
      </c>
      <c r="C275" s="85" t="s">
        <v>4155</v>
      </c>
      <c r="D275" s="86" t="s">
        <v>4155</v>
      </c>
      <c r="E275" s="85" t="s">
        <v>6095</v>
      </c>
      <c r="F275" s="86" t="s">
        <v>6095</v>
      </c>
      <c r="G275" s="85" t="s">
        <v>573</v>
      </c>
      <c r="H275" s="87"/>
    </row>
    <row r="276">
      <c r="A276" s="84">
        <v>7.290016006377E12</v>
      </c>
      <c r="B276" s="85" t="s">
        <v>4108</v>
      </c>
      <c r="C276" s="85" t="s">
        <v>4159</v>
      </c>
      <c r="D276" s="86" t="s">
        <v>4159</v>
      </c>
      <c r="E276" s="85" t="s">
        <v>6095</v>
      </c>
      <c r="F276" s="86" t="s">
        <v>6095</v>
      </c>
      <c r="G276" s="85" t="s">
        <v>573</v>
      </c>
      <c r="H276" s="87"/>
    </row>
    <row r="277">
      <c r="A277" s="84">
        <v>7.290014791626E12</v>
      </c>
      <c r="B277" s="85" t="s">
        <v>4108</v>
      </c>
      <c r="C277" s="85" t="s">
        <v>4234</v>
      </c>
      <c r="D277" s="86" t="s">
        <v>4234</v>
      </c>
      <c r="E277" s="85" t="s">
        <v>6095</v>
      </c>
      <c r="F277" s="86" t="s">
        <v>6095</v>
      </c>
      <c r="G277" s="85" t="s">
        <v>573</v>
      </c>
      <c r="H277" s="87"/>
    </row>
    <row r="278">
      <c r="A278" s="84">
        <v>7.290014791572E12</v>
      </c>
      <c r="B278" s="85" t="s">
        <v>4108</v>
      </c>
      <c r="C278" s="85" t="s">
        <v>4165</v>
      </c>
      <c r="D278" s="86" t="s">
        <v>4165</v>
      </c>
      <c r="E278" s="85" t="s">
        <v>6095</v>
      </c>
      <c r="F278" s="86" t="s">
        <v>6095</v>
      </c>
      <c r="G278" s="85" t="s">
        <v>573</v>
      </c>
      <c r="H278" s="87"/>
    </row>
    <row r="279">
      <c r="A279" s="84">
        <v>7.29001370247E12</v>
      </c>
      <c r="B279" s="85" t="s">
        <v>4108</v>
      </c>
      <c r="C279" s="85" t="s">
        <v>4171</v>
      </c>
      <c r="D279" s="86" t="s">
        <v>4171</v>
      </c>
      <c r="E279" s="85" t="s">
        <v>6095</v>
      </c>
      <c r="F279" s="86" t="s">
        <v>6095</v>
      </c>
      <c r="G279" s="85" t="s">
        <v>573</v>
      </c>
      <c r="H279" s="87"/>
    </row>
    <row r="280">
      <c r="A280" s="84">
        <v>7.290013702463E12</v>
      </c>
      <c r="B280" s="85" t="s">
        <v>4108</v>
      </c>
      <c r="C280" s="85" t="s">
        <v>4149</v>
      </c>
      <c r="D280" s="86" t="s">
        <v>4149</v>
      </c>
      <c r="E280" s="85" t="s">
        <v>6095</v>
      </c>
      <c r="F280" s="86" t="s">
        <v>6095</v>
      </c>
      <c r="G280" s="85" t="s">
        <v>573</v>
      </c>
      <c r="H280" s="87"/>
    </row>
    <row r="281">
      <c r="A281" s="84">
        <v>7.290013702425E12</v>
      </c>
      <c r="B281" s="85" t="s">
        <v>4108</v>
      </c>
      <c r="C281" s="85" t="s">
        <v>4135</v>
      </c>
      <c r="D281" s="86" t="s">
        <v>4135</v>
      </c>
      <c r="E281" s="85" t="s">
        <v>6095</v>
      </c>
      <c r="F281" s="86" t="s">
        <v>6095</v>
      </c>
      <c r="G281" s="85" t="s">
        <v>573</v>
      </c>
      <c r="H281" s="87"/>
    </row>
    <row r="282">
      <c r="A282" s="84">
        <v>7.290013702418E12</v>
      </c>
      <c r="B282" s="85" t="s">
        <v>4108</v>
      </c>
      <c r="C282" s="85" t="s">
        <v>4204</v>
      </c>
      <c r="D282" s="86" t="s">
        <v>4204</v>
      </c>
      <c r="E282" s="85" t="s">
        <v>6095</v>
      </c>
      <c r="F282" s="86" t="s">
        <v>6095</v>
      </c>
      <c r="G282" s="85" t="s">
        <v>573</v>
      </c>
      <c r="H282" s="87"/>
    </row>
    <row r="283">
      <c r="A283" s="84">
        <v>7.290012404238E12</v>
      </c>
      <c r="B283" s="85" t="s">
        <v>4108</v>
      </c>
      <c r="C283" s="85" t="s">
        <v>4183</v>
      </c>
      <c r="D283" s="86" t="s">
        <v>4183</v>
      </c>
      <c r="E283" s="85" t="s">
        <v>6095</v>
      </c>
      <c r="F283" s="86" t="s">
        <v>6095</v>
      </c>
      <c r="G283" s="85" t="s">
        <v>573</v>
      </c>
      <c r="H283" s="87"/>
    </row>
    <row r="284">
      <c r="A284" s="84">
        <v>7.290012404184E12</v>
      </c>
      <c r="B284" s="85" t="s">
        <v>4108</v>
      </c>
      <c r="C284" s="85" t="s">
        <v>4143</v>
      </c>
      <c r="D284" s="86" t="s">
        <v>4143</v>
      </c>
      <c r="E284" s="85" t="s">
        <v>6095</v>
      </c>
      <c r="F284" s="86" t="s">
        <v>6095</v>
      </c>
      <c r="G284" s="85" t="s">
        <v>573</v>
      </c>
      <c r="H284" s="87"/>
    </row>
    <row r="285">
      <c r="A285" s="84">
        <v>7.290012404177E12</v>
      </c>
      <c r="B285" s="85" t="s">
        <v>4108</v>
      </c>
      <c r="C285" s="85" t="s">
        <v>4129</v>
      </c>
      <c r="D285" s="86" t="s">
        <v>4129</v>
      </c>
      <c r="E285" s="85" t="s">
        <v>6095</v>
      </c>
      <c r="F285" s="86" t="s">
        <v>6095</v>
      </c>
      <c r="G285" s="85" t="s">
        <v>573</v>
      </c>
      <c r="H285" s="87"/>
    </row>
    <row r="286">
      <c r="A286" s="84">
        <v>7.290012404146E12</v>
      </c>
      <c r="B286" s="85" t="s">
        <v>4108</v>
      </c>
      <c r="C286" s="85" t="s">
        <v>4123</v>
      </c>
      <c r="D286" s="86" t="s">
        <v>4123</v>
      </c>
      <c r="E286" s="85" t="s">
        <v>6095</v>
      </c>
      <c r="F286" s="86" t="s">
        <v>6095</v>
      </c>
      <c r="G286" s="85" t="s">
        <v>573</v>
      </c>
      <c r="H286" s="87"/>
    </row>
    <row r="287">
      <c r="A287" s="84">
        <v>7.290011051396E12</v>
      </c>
      <c r="B287" s="85" t="s">
        <v>4108</v>
      </c>
      <c r="C287" s="85" t="s">
        <v>4198</v>
      </c>
      <c r="D287" s="86" t="s">
        <v>4198</v>
      </c>
      <c r="E287" s="85" t="s">
        <v>6095</v>
      </c>
      <c r="F287" s="86" t="s">
        <v>6095</v>
      </c>
      <c r="G287" s="85" t="s">
        <v>573</v>
      </c>
      <c r="H287" s="87"/>
    </row>
    <row r="288">
      <c r="A288" s="84">
        <v>7.290011051389E12</v>
      </c>
      <c r="B288" s="85" t="s">
        <v>4108</v>
      </c>
      <c r="C288" s="85" t="s">
        <v>4191</v>
      </c>
      <c r="D288" s="86" t="s">
        <v>4191</v>
      </c>
      <c r="E288" s="85" t="s">
        <v>6095</v>
      </c>
      <c r="F288" s="86" t="s">
        <v>6095</v>
      </c>
      <c r="G288" s="85" t="s">
        <v>573</v>
      </c>
      <c r="H288" s="87"/>
    </row>
    <row r="289">
      <c r="A289" s="84">
        <v>7.290011051358E12</v>
      </c>
      <c r="B289" s="85" t="s">
        <v>4108</v>
      </c>
      <c r="C289" s="85" t="s">
        <v>4228</v>
      </c>
      <c r="D289" s="86" t="s">
        <v>4228</v>
      </c>
      <c r="E289" s="85" t="s">
        <v>6095</v>
      </c>
      <c r="F289" s="86" t="s">
        <v>6095</v>
      </c>
      <c r="G289" s="85" t="s">
        <v>573</v>
      </c>
      <c r="H289" s="87"/>
    </row>
    <row r="290">
      <c r="A290" s="84">
        <v>8757034.0</v>
      </c>
      <c r="B290" s="85" t="s">
        <v>4108</v>
      </c>
      <c r="C290" s="85" t="s">
        <v>4246</v>
      </c>
      <c r="D290" s="86" t="s">
        <v>4246</v>
      </c>
      <c r="E290" s="85" t="s">
        <v>6095</v>
      </c>
      <c r="F290" s="86" t="s">
        <v>6095</v>
      </c>
      <c r="G290" s="85" t="s">
        <v>573</v>
      </c>
      <c r="H290" s="87"/>
    </row>
    <row r="291">
      <c r="A291" s="84">
        <v>8757010.0</v>
      </c>
      <c r="B291" s="85" t="s">
        <v>4108</v>
      </c>
      <c r="C291" s="85" t="s">
        <v>4117</v>
      </c>
      <c r="D291" s="86" t="s">
        <v>4117</v>
      </c>
      <c r="E291" s="85" t="s">
        <v>6095</v>
      </c>
      <c r="F291" s="86" t="s">
        <v>6095</v>
      </c>
      <c r="G291" s="85" t="s">
        <v>573</v>
      </c>
      <c r="H291" s="87"/>
    </row>
    <row r="292">
      <c r="A292" s="84">
        <v>285849.0</v>
      </c>
      <c r="B292" s="85" t="s">
        <v>4108</v>
      </c>
      <c r="C292" s="85" t="s">
        <v>4240</v>
      </c>
      <c r="D292" s="86" t="s">
        <v>4240</v>
      </c>
      <c r="E292" s="85" t="s">
        <v>6095</v>
      </c>
      <c r="F292" s="86" t="s">
        <v>6095</v>
      </c>
      <c r="G292" s="85" t="s">
        <v>573</v>
      </c>
      <c r="H292" s="87"/>
    </row>
    <row r="293">
      <c r="A293" s="84">
        <v>433714.0</v>
      </c>
      <c r="B293" s="91" t="s">
        <v>4265</v>
      </c>
      <c r="C293" s="85" t="s">
        <v>4260</v>
      </c>
      <c r="D293" s="86" t="s">
        <v>4260</v>
      </c>
      <c r="E293" s="85" t="s">
        <v>6020</v>
      </c>
      <c r="F293" s="86" t="s">
        <v>6020</v>
      </c>
      <c r="G293" s="85" t="s">
        <v>573</v>
      </c>
      <c r="H293" s="87"/>
    </row>
    <row r="294">
      <c r="A294" s="84">
        <v>5.410316983693E12</v>
      </c>
      <c r="B294" s="85" t="s">
        <v>4319</v>
      </c>
      <c r="C294" s="85" t="s">
        <v>4316</v>
      </c>
      <c r="D294" s="86" t="s">
        <v>4316</v>
      </c>
      <c r="E294" s="85" t="s">
        <v>6096</v>
      </c>
      <c r="F294" s="86" t="s">
        <v>6096</v>
      </c>
      <c r="G294" s="85" t="s">
        <v>573</v>
      </c>
      <c r="H294" s="87"/>
    </row>
    <row r="295">
      <c r="A295" s="84">
        <v>7.7975099933E10</v>
      </c>
      <c r="B295" s="85" t="s">
        <v>4339</v>
      </c>
      <c r="C295" s="85" t="s">
        <v>4342</v>
      </c>
      <c r="D295" s="86" t="s">
        <v>4342</v>
      </c>
      <c r="E295" s="85" t="s">
        <v>6097</v>
      </c>
      <c r="F295" s="86" t="s">
        <v>6097</v>
      </c>
      <c r="G295" s="85" t="s">
        <v>32</v>
      </c>
      <c r="H295" s="87"/>
    </row>
    <row r="296">
      <c r="A296" s="84">
        <v>7.7975099919E10</v>
      </c>
      <c r="B296" s="85" t="s">
        <v>4339</v>
      </c>
      <c r="C296" s="85" t="s">
        <v>4357</v>
      </c>
      <c r="D296" s="86" t="s">
        <v>4357</v>
      </c>
      <c r="E296" s="85" t="s">
        <v>6097</v>
      </c>
      <c r="F296" s="86" t="s">
        <v>6097</v>
      </c>
      <c r="G296" s="85" t="s">
        <v>32</v>
      </c>
      <c r="H296" s="87"/>
    </row>
    <row r="297">
      <c r="A297" s="84">
        <v>7.7975094631E10</v>
      </c>
      <c r="B297" s="85" t="s">
        <v>4339</v>
      </c>
      <c r="C297" s="85" t="s">
        <v>4352</v>
      </c>
      <c r="D297" s="86" t="s">
        <v>4352</v>
      </c>
      <c r="E297" s="85" t="s">
        <v>6097</v>
      </c>
      <c r="F297" s="86" t="s">
        <v>6097</v>
      </c>
      <c r="G297" s="85" t="s">
        <v>32</v>
      </c>
      <c r="H297" s="87"/>
    </row>
    <row r="298">
      <c r="A298" s="84">
        <v>7.7975094624E10</v>
      </c>
      <c r="B298" s="85" t="s">
        <v>4339</v>
      </c>
      <c r="C298" s="85" t="s">
        <v>4362</v>
      </c>
      <c r="D298" s="86" t="s">
        <v>4362</v>
      </c>
      <c r="E298" s="85" t="s">
        <v>6097</v>
      </c>
      <c r="F298" s="86" t="s">
        <v>6097</v>
      </c>
      <c r="G298" s="85" t="s">
        <v>32</v>
      </c>
      <c r="H298" s="87"/>
    </row>
    <row r="299">
      <c r="A299" s="84">
        <v>7.7975094006E10</v>
      </c>
      <c r="B299" s="85" t="s">
        <v>4339</v>
      </c>
      <c r="C299" s="85" t="s">
        <v>4347</v>
      </c>
      <c r="D299" s="86" t="s">
        <v>4347</v>
      </c>
      <c r="E299" s="85" t="s">
        <v>6097</v>
      </c>
      <c r="F299" s="86" t="s">
        <v>6097</v>
      </c>
      <c r="G299" s="85" t="s">
        <v>32</v>
      </c>
      <c r="H299" s="87"/>
    </row>
    <row r="300">
      <c r="A300" s="84">
        <v>7.7975091975E10</v>
      </c>
      <c r="B300" s="85" t="s">
        <v>4339</v>
      </c>
      <c r="C300" s="85" t="s">
        <v>4372</v>
      </c>
      <c r="D300" s="86" t="s">
        <v>4372</v>
      </c>
      <c r="E300" s="85" t="s">
        <v>6097</v>
      </c>
      <c r="F300" s="86" t="s">
        <v>6097</v>
      </c>
      <c r="G300" s="85" t="s">
        <v>32</v>
      </c>
      <c r="H300" s="87"/>
    </row>
    <row r="301">
      <c r="A301" s="84">
        <v>7.7975088227E10</v>
      </c>
      <c r="B301" s="85" t="s">
        <v>4339</v>
      </c>
      <c r="C301" s="85" t="s">
        <v>4367</v>
      </c>
      <c r="D301" s="86" t="s">
        <v>4367</v>
      </c>
      <c r="E301" s="85" t="s">
        <v>6097</v>
      </c>
      <c r="F301" s="86" t="s">
        <v>6097</v>
      </c>
      <c r="G301" s="85" t="s">
        <v>32</v>
      </c>
      <c r="H301" s="87"/>
    </row>
    <row r="302">
      <c r="A302" s="84">
        <v>7.797508821E10</v>
      </c>
      <c r="B302" s="85" t="s">
        <v>4339</v>
      </c>
      <c r="C302" s="85" t="s">
        <v>4377</v>
      </c>
      <c r="D302" s="86" t="s">
        <v>4377</v>
      </c>
      <c r="E302" s="85" t="s">
        <v>6097</v>
      </c>
      <c r="F302" s="86" t="s">
        <v>6097</v>
      </c>
      <c r="G302" s="85" t="s">
        <v>32</v>
      </c>
      <c r="H302" s="87"/>
    </row>
    <row r="303">
      <c r="A303" s="84">
        <v>7.5001629E12</v>
      </c>
      <c r="B303" s="85" t="s">
        <v>4382</v>
      </c>
      <c r="C303" s="85" t="s">
        <v>4385</v>
      </c>
      <c r="D303" s="86" t="s">
        <v>4385</v>
      </c>
      <c r="E303" s="85" t="s">
        <v>6098</v>
      </c>
      <c r="F303" s="86" t="s">
        <v>6098</v>
      </c>
      <c r="G303" s="85" t="s">
        <v>573</v>
      </c>
      <c r="H303" s="87"/>
    </row>
    <row r="304">
      <c r="A304" s="84">
        <v>7.290011018474E12</v>
      </c>
      <c r="B304" s="85" t="s">
        <v>4396</v>
      </c>
      <c r="C304" s="85" t="s">
        <v>4393</v>
      </c>
      <c r="D304" s="86" t="s">
        <v>4393</v>
      </c>
      <c r="E304" s="85" t="s">
        <v>6099</v>
      </c>
      <c r="F304" s="86" t="s">
        <v>6099</v>
      </c>
      <c r="G304" s="85" t="s">
        <v>573</v>
      </c>
      <c r="H304" s="87"/>
    </row>
    <row r="305">
      <c r="A305" s="84">
        <v>7.290016006773E12</v>
      </c>
      <c r="B305" s="85" t="s">
        <v>4420</v>
      </c>
      <c r="C305" s="85" t="s">
        <v>4423</v>
      </c>
      <c r="D305" s="86" t="s">
        <v>4423</v>
      </c>
      <c r="E305" s="85" t="s">
        <v>6100</v>
      </c>
      <c r="F305" s="86" t="s">
        <v>6100</v>
      </c>
      <c r="G305" s="85" t="s">
        <v>573</v>
      </c>
      <c r="H305" s="87"/>
    </row>
    <row r="306">
      <c r="A306" s="84">
        <v>7.290016006759E12</v>
      </c>
      <c r="B306" s="85" t="s">
        <v>4420</v>
      </c>
      <c r="C306" s="85" t="s">
        <v>4435</v>
      </c>
      <c r="D306" s="86" t="s">
        <v>4435</v>
      </c>
      <c r="E306" s="85" t="s">
        <v>6100</v>
      </c>
      <c r="F306" s="86" t="s">
        <v>6100</v>
      </c>
      <c r="G306" s="85" t="s">
        <v>573</v>
      </c>
      <c r="H306" s="87"/>
    </row>
    <row r="307">
      <c r="A307" s="84">
        <v>5564253.0</v>
      </c>
      <c r="B307" s="85" t="s">
        <v>4420</v>
      </c>
      <c r="C307" s="85" t="s">
        <v>4429</v>
      </c>
      <c r="D307" s="86" t="s">
        <v>4429</v>
      </c>
      <c r="E307" s="85" t="s">
        <v>6100</v>
      </c>
      <c r="F307" s="86" t="s">
        <v>6100</v>
      </c>
      <c r="G307" s="85" t="s">
        <v>573</v>
      </c>
      <c r="H307" s="87"/>
    </row>
    <row r="308">
      <c r="A308" s="84">
        <v>3608089.0</v>
      </c>
      <c r="B308" s="85" t="s">
        <v>4420</v>
      </c>
      <c r="C308" s="85" t="s">
        <v>4441</v>
      </c>
      <c r="D308" s="86" t="s">
        <v>4441</v>
      </c>
      <c r="E308" s="85" t="s">
        <v>6100</v>
      </c>
      <c r="F308" s="86" t="s">
        <v>6100</v>
      </c>
      <c r="G308" s="85" t="s">
        <v>573</v>
      </c>
      <c r="H308" s="87"/>
    </row>
    <row r="309">
      <c r="A309" s="84">
        <v>2331179.0</v>
      </c>
      <c r="B309" s="91" t="s">
        <v>6101</v>
      </c>
      <c r="C309" s="85" t="s">
        <v>3090</v>
      </c>
      <c r="D309" s="86" t="s">
        <v>3090</v>
      </c>
      <c r="E309" s="85" t="s">
        <v>6102</v>
      </c>
      <c r="F309" s="86" t="s">
        <v>6102</v>
      </c>
      <c r="G309" s="85" t="s">
        <v>573</v>
      </c>
      <c r="H309" s="87"/>
    </row>
    <row r="310">
      <c r="A310" s="84">
        <v>2331148.0</v>
      </c>
      <c r="B310" s="91" t="s">
        <v>6101</v>
      </c>
      <c r="C310" s="85" t="s">
        <v>3077</v>
      </c>
      <c r="D310" s="86" t="s">
        <v>3077</v>
      </c>
      <c r="E310" s="85" t="s">
        <v>6102</v>
      </c>
      <c r="F310" s="86" t="s">
        <v>6102</v>
      </c>
      <c r="G310" s="85" t="s">
        <v>573</v>
      </c>
      <c r="H310" s="87"/>
    </row>
    <row r="311">
      <c r="A311" s="84">
        <v>2331117.0</v>
      </c>
      <c r="B311" s="91" t="s">
        <v>6101</v>
      </c>
      <c r="C311" s="85" t="s">
        <v>3084</v>
      </c>
      <c r="D311" s="86" t="s">
        <v>3084</v>
      </c>
      <c r="E311" s="85" t="s">
        <v>6102</v>
      </c>
      <c r="F311" s="86" t="s">
        <v>6102</v>
      </c>
      <c r="G311" s="85" t="s">
        <v>573</v>
      </c>
      <c r="H311" s="87"/>
    </row>
    <row r="312">
      <c r="A312" s="84">
        <v>7.290110110659E12</v>
      </c>
      <c r="B312" s="85" t="s">
        <v>4446</v>
      </c>
      <c r="C312" s="85" t="s">
        <v>4457</v>
      </c>
      <c r="D312" s="86" t="s">
        <v>4457</v>
      </c>
      <c r="E312" s="85" t="s">
        <v>6103</v>
      </c>
      <c r="F312" s="86" t="s">
        <v>6103</v>
      </c>
      <c r="G312" s="85" t="s">
        <v>573</v>
      </c>
      <c r="H312" s="87"/>
    </row>
    <row r="313">
      <c r="A313" s="84">
        <v>7.290110110635E12</v>
      </c>
      <c r="B313" s="85" t="s">
        <v>4446</v>
      </c>
      <c r="C313" s="85" t="s">
        <v>4469</v>
      </c>
      <c r="D313" s="86" t="s">
        <v>4469</v>
      </c>
      <c r="E313" s="85" t="s">
        <v>6103</v>
      </c>
      <c r="F313" s="86" t="s">
        <v>6103</v>
      </c>
      <c r="G313" s="85" t="s">
        <v>573</v>
      </c>
      <c r="H313" s="87"/>
    </row>
    <row r="314">
      <c r="A314" s="84">
        <v>7.290110110611E12</v>
      </c>
      <c r="B314" s="85" t="s">
        <v>4446</v>
      </c>
      <c r="C314" s="85" t="s">
        <v>4463</v>
      </c>
      <c r="D314" s="86" t="s">
        <v>4463</v>
      </c>
      <c r="E314" s="85" t="s">
        <v>6103</v>
      </c>
      <c r="F314" s="86" t="s">
        <v>6103</v>
      </c>
      <c r="G314" s="85" t="s">
        <v>573</v>
      </c>
      <c r="H314" s="87"/>
    </row>
    <row r="315">
      <c r="A315" s="84">
        <v>7.290013585257E12</v>
      </c>
      <c r="B315" s="85" t="s">
        <v>4446</v>
      </c>
      <c r="C315" s="85" t="s">
        <v>4475</v>
      </c>
      <c r="D315" s="86" t="s">
        <v>4475</v>
      </c>
      <c r="E315" s="85" t="s">
        <v>6103</v>
      </c>
      <c r="F315" s="86" t="s">
        <v>6103</v>
      </c>
      <c r="G315" s="85" t="s">
        <v>573</v>
      </c>
      <c r="H315" s="87"/>
    </row>
    <row r="316">
      <c r="A316" s="84">
        <v>7.29001358524E12</v>
      </c>
      <c r="B316" s="85" t="s">
        <v>4446</v>
      </c>
      <c r="C316" s="85" t="s">
        <v>4449</v>
      </c>
      <c r="D316" s="86" t="s">
        <v>4449</v>
      </c>
      <c r="E316" s="85" t="s">
        <v>6103</v>
      </c>
      <c r="F316" s="86" t="s">
        <v>6103</v>
      </c>
      <c r="G316" s="85" t="s">
        <v>573</v>
      </c>
      <c r="H316" s="87"/>
    </row>
    <row r="317">
      <c r="A317" s="84">
        <v>7.290013585233E12</v>
      </c>
      <c r="B317" s="85" t="s">
        <v>4446</v>
      </c>
      <c r="C317" s="85" t="s">
        <v>4482</v>
      </c>
      <c r="D317" s="86" t="s">
        <v>4482</v>
      </c>
      <c r="E317" s="85" t="s">
        <v>6103</v>
      </c>
      <c r="F317" s="86" t="s">
        <v>6103</v>
      </c>
      <c r="G317" s="85" t="s">
        <v>573</v>
      </c>
      <c r="H317" s="87"/>
    </row>
    <row r="318">
      <c r="A318" s="84">
        <v>2.8400055154E10</v>
      </c>
      <c r="B318" s="85" t="s">
        <v>4487</v>
      </c>
      <c r="C318" s="85" t="s">
        <v>4500</v>
      </c>
      <c r="D318" s="86" t="s">
        <v>4500</v>
      </c>
      <c r="E318" s="85" t="s">
        <v>6104</v>
      </c>
      <c r="F318" s="86" t="s">
        <v>6104</v>
      </c>
      <c r="G318" s="85" t="s">
        <v>113</v>
      </c>
      <c r="H318" s="87"/>
    </row>
    <row r="319">
      <c r="A319" s="84">
        <v>2.8400055109E10</v>
      </c>
      <c r="B319" s="85" t="s">
        <v>4487</v>
      </c>
      <c r="C319" s="85" t="s">
        <v>4495</v>
      </c>
      <c r="D319" s="86" t="s">
        <v>4495</v>
      </c>
      <c r="E319" s="85" t="s">
        <v>6104</v>
      </c>
      <c r="F319" s="86" t="s">
        <v>6104</v>
      </c>
      <c r="G319" s="85" t="s">
        <v>113</v>
      </c>
      <c r="H319" s="87"/>
    </row>
    <row r="320">
      <c r="A320" s="84">
        <v>2.8400055093E10</v>
      </c>
      <c r="B320" s="85" t="s">
        <v>4487</v>
      </c>
      <c r="C320" s="85" t="s">
        <v>4490</v>
      </c>
      <c r="D320" s="86" t="s">
        <v>4490</v>
      </c>
      <c r="E320" s="85" t="s">
        <v>6104</v>
      </c>
      <c r="F320" s="86" t="s">
        <v>6104</v>
      </c>
      <c r="G320" s="85" t="s">
        <v>113</v>
      </c>
      <c r="H320" s="87"/>
    </row>
    <row r="321">
      <c r="A321" s="84">
        <v>2542773.0</v>
      </c>
      <c r="B321" s="85" t="s">
        <v>4504</v>
      </c>
      <c r="C321" s="85" t="s">
        <v>4507</v>
      </c>
      <c r="D321" s="86" t="s">
        <v>4507</v>
      </c>
      <c r="E321" s="85" t="s">
        <v>6105</v>
      </c>
      <c r="F321" s="86" t="s">
        <v>6105</v>
      </c>
      <c r="G321" s="85" t="s">
        <v>573</v>
      </c>
      <c r="H321" s="87"/>
    </row>
    <row r="322">
      <c r="A322" s="84">
        <v>5.035766044673E12</v>
      </c>
      <c r="B322" s="85" t="s">
        <v>4524</v>
      </c>
      <c r="C322" s="85" t="s">
        <v>4521</v>
      </c>
      <c r="D322" s="86" t="s">
        <v>4521</v>
      </c>
      <c r="E322" s="85" t="s">
        <v>6106</v>
      </c>
      <c r="F322" s="86" t="s">
        <v>6106</v>
      </c>
      <c r="G322" s="85" t="s">
        <v>573</v>
      </c>
      <c r="H322" s="87"/>
    </row>
    <row r="323">
      <c r="A323" s="84">
        <v>7.290112359018E12</v>
      </c>
      <c r="B323" s="85" t="s">
        <v>4562</v>
      </c>
      <c r="C323" s="85" t="s">
        <v>4608</v>
      </c>
      <c r="D323" s="86" t="s">
        <v>4608</v>
      </c>
      <c r="E323" s="85" t="s">
        <v>6107</v>
      </c>
      <c r="F323" s="86" t="s">
        <v>6107</v>
      </c>
      <c r="G323" s="85" t="s">
        <v>113</v>
      </c>
      <c r="H323" s="87"/>
    </row>
    <row r="324">
      <c r="A324" s="84">
        <v>7.290112342195E12</v>
      </c>
      <c r="B324" s="85" t="s">
        <v>4562</v>
      </c>
      <c r="C324" s="85" t="s">
        <v>4586</v>
      </c>
      <c r="D324" s="86" t="s">
        <v>4586</v>
      </c>
      <c r="E324" s="85" t="s">
        <v>6107</v>
      </c>
      <c r="F324" s="86" t="s">
        <v>6107</v>
      </c>
      <c r="G324" s="85" t="s">
        <v>113</v>
      </c>
      <c r="H324" s="87"/>
    </row>
    <row r="325">
      <c r="A325" s="84">
        <v>7.290110561918E12</v>
      </c>
      <c r="B325" s="85" t="s">
        <v>4562</v>
      </c>
      <c r="C325" s="85" t="s">
        <v>4603</v>
      </c>
      <c r="D325" s="86" t="s">
        <v>4603</v>
      </c>
      <c r="E325" s="85" t="s">
        <v>6107</v>
      </c>
      <c r="F325" s="86" t="s">
        <v>6107</v>
      </c>
      <c r="G325" s="85" t="s">
        <v>113</v>
      </c>
      <c r="H325" s="87"/>
    </row>
    <row r="326">
      <c r="A326" s="84">
        <v>7.290106524439E12</v>
      </c>
      <c r="B326" s="85" t="s">
        <v>4562</v>
      </c>
      <c r="C326" s="85" t="s">
        <v>4581</v>
      </c>
      <c r="D326" s="86" t="s">
        <v>4581</v>
      </c>
      <c r="E326" s="85" t="s">
        <v>6107</v>
      </c>
      <c r="F326" s="86" t="s">
        <v>6107</v>
      </c>
      <c r="G326" s="85" t="s">
        <v>113</v>
      </c>
      <c r="H326" s="87"/>
    </row>
    <row r="327">
      <c r="A327" s="84">
        <v>7.29010472253E12</v>
      </c>
      <c r="B327" s="85" t="s">
        <v>4562</v>
      </c>
      <c r="C327" s="85" t="s">
        <v>4565</v>
      </c>
      <c r="D327" s="86" t="s">
        <v>4565</v>
      </c>
      <c r="E327" s="85" t="s">
        <v>6107</v>
      </c>
      <c r="F327" s="86" t="s">
        <v>6107</v>
      </c>
      <c r="G327" s="85" t="s">
        <v>113</v>
      </c>
      <c r="H327" s="87"/>
    </row>
    <row r="328">
      <c r="A328" s="84">
        <v>7.29010203033E12</v>
      </c>
      <c r="B328" s="85" t="s">
        <v>4562</v>
      </c>
      <c r="C328" s="85" t="s">
        <v>4570</v>
      </c>
      <c r="D328" s="86" t="s">
        <v>4570</v>
      </c>
      <c r="E328" s="85" t="s">
        <v>6107</v>
      </c>
      <c r="F328" s="86" t="s">
        <v>6107</v>
      </c>
      <c r="G328" s="85" t="s">
        <v>113</v>
      </c>
      <c r="H328" s="87"/>
    </row>
    <row r="329">
      <c r="A329" s="84">
        <v>8753111.0</v>
      </c>
      <c r="B329" s="85" t="s">
        <v>4562</v>
      </c>
      <c r="C329" s="85" t="s">
        <v>4597</v>
      </c>
      <c r="D329" s="86" t="s">
        <v>4597</v>
      </c>
      <c r="E329" s="85" t="s">
        <v>6107</v>
      </c>
      <c r="F329" s="86" t="s">
        <v>6107</v>
      </c>
      <c r="G329" s="85" t="s">
        <v>113</v>
      </c>
      <c r="H329" s="87"/>
    </row>
    <row r="330">
      <c r="A330" s="84">
        <v>8752244.0</v>
      </c>
      <c r="B330" s="85" t="s">
        <v>4562</v>
      </c>
      <c r="C330" s="85" t="s">
        <v>4619</v>
      </c>
      <c r="D330" s="86" t="s">
        <v>4619</v>
      </c>
      <c r="E330" s="85" t="s">
        <v>6107</v>
      </c>
      <c r="F330" s="86" t="s">
        <v>6107</v>
      </c>
      <c r="G330" s="85" t="s">
        <v>113</v>
      </c>
      <c r="H330" s="87"/>
    </row>
    <row r="331">
      <c r="A331" s="84">
        <v>8747547.0</v>
      </c>
      <c r="B331" s="85" t="s">
        <v>4562</v>
      </c>
      <c r="C331" s="85" t="s">
        <v>4637</v>
      </c>
      <c r="D331" s="86" t="s">
        <v>4637</v>
      </c>
      <c r="E331" s="85" t="s">
        <v>6107</v>
      </c>
      <c r="F331" s="86" t="s">
        <v>6107</v>
      </c>
      <c r="G331" s="85" t="s">
        <v>113</v>
      </c>
      <c r="H331" s="87"/>
    </row>
    <row r="332">
      <c r="A332" s="84">
        <v>8745239.0</v>
      </c>
      <c r="B332" s="85" t="s">
        <v>4562</v>
      </c>
      <c r="C332" s="85" t="s">
        <v>4643</v>
      </c>
      <c r="D332" s="86" t="s">
        <v>4643</v>
      </c>
      <c r="E332" s="85" t="s">
        <v>6107</v>
      </c>
      <c r="F332" s="86" t="s">
        <v>6107</v>
      </c>
      <c r="G332" s="85" t="s">
        <v>113</v>
      </c>
      <c r="H332" s="87"/>
    </row>
    <row r="333">
      <c r="A333" s="84">
        <v>5200786.0</v>
      </c>
      <c r="B333" s="85" t="s">
        <v>4562</v>
      </c>
      <c r="C333" s="85" t="s">
        <v>4613</v>
      </c>
      <c r="D333" s="86" t="s">
        <v>4613</v>
      </c>
      <c r="E333" s="85" t="s">
        <v>6107</v>
      </c>
      <c r="F333" s="86" t="s">
        <v>6107</v>
      </c>
      <c r="G333" s="85" t="s">
        <v>113</v>
      </c>
      <c r="H333" s="87"/>
    </row>
    <row r="334">
      <c r="A334" s="84">
        <v>178721.0</v>
      </c>
      <c r="B334" s="85" t="s">
        <v>4562</v>
      </c>
      <c r="C334" s="85" t="s">
        <v>4625</v>
      </c>
      <c r="D334" s="86" t="s">
        <v>4625</v>
      </c>
      <c r="E334" s="85" t="s">
        <v>6107</v>
      </c>
      <c r="F334" s="86" t="s">
        <v>6107</v>
      </c>
      <c r="G334" s="85" t="s">
        <v>113</v>
      </c>
      <c r="H334" s="87"/>
    </row>
    <row r="335">
      <c r="A335" s="84">
        <v>178707.0</v>
      </c>
      <c r="B335" s="85" t="s">
        <v>4562</v>
      </c>
      <c r="C335" s="85" t="s">
        <v>4631</v>
      </c>
      <c r="D335" s="86" t="s">
        <v>4631</v>
      </c>
      <c r="E335" s="85" t="s">
        <v>6107</v>
      </c>
      <c r="F335" s="86" t="s">
        <v>6107</v>
      </c>
      <c r="G335" s="85" t="s">
        <v>113</v>
      </c>
      <c r="H335" s="87"/>
    </row>
    <row r="336">
      <c r="A336" s="84">
        <v>5564680.0</v>
      </c>
      <c r="B336" s="85" t="s">
        <v>4654</v>
      </c>
      <c r="C336" s="85" t="s">
        <v>4663</v>
      </c>
      <c r="D336" s="86" t="s">
        <v>4663</v>
      </c>
      <c r="E336" s="85" t="s">
        <v>6057</v>
      </c>
      <c r="F336" s="86" t="s">
        <v>6057</v>
      </c>
      <c r="G336" s="85" t="s">
        <v>573</v>
      </c>
      <c r="H336" s="87"/>
    </row>
    <row r="337">
      <c r="A337" s="84">
        <v>2663522.0</v>
      </c>
      <c r="B337" s="85" t="s">
        <v>4654</v>
      </c>
      <c r="C337" s="85" t="s">
        <v>4669</v>
      </c>
      <c r="D337" s="86" t="s">
        <v>4669</v>
      </c>
      <c r="E337" s="85" t="s">
        <v>6057</v>
      </c>
      <c r="F337" s="86" t="s">
        <v>6057</v>
      </c>
      <c r="G337" s="85" t="s">
        <v>573</v>
      </c>
      <c r="H337" s="87"/>
    </row>
    <row r="338">
      <c r="A338" s="84">
        <v>7.290008464611E12</v>
      </c>
      <c r="B338" s="85" t="s">
        <v>4692</v>
      </c>
      <c r="C338" s="85" t="s">
        <v>4696</v>
      </c>
      <c r="D338" s="86" t="s">
        <v>4696</v>
      </c>
      <c r="E338" s="85" t="s">
        <v>6108</v>
      </c>
      <c r="F338" s="86" t="s">
        <v>6108</v>
      </c>
      <c r="G338" s="85" t="s">
        <v>573</v>
      </c>
      <c r="H338" s="87"/>
    </row>
    <row r="339">
      <c r="A339" s="84">
        <v>7.290000135151E12</v>
      </c>
      <c r="B339" s="85" t="s">
        <v>4692</v>
      </c>
      <c r="C339" s="85" t="s">
        <v>4689</v>
      </c>
      <c r="D339" s="86" t="s">
        <v>4689</v>
      </c>
      <c r="E339" s="85" t="s">
        <v>6108</v>
      </c>
      <c r="F339" s="86" t="s">
        <v>6108</v>
      </c>
      <c r="G339" s="85" t="s">
        <v>573</v>
      </c>
      <c r="H339" s="87"/>
    </row>
    <row r="340">
      <c r="A340" s="84">
        <v>327624.0</v>
      </c>
      <c r="B340" s="85" t="s">
        <v>4692</v>
      </c>
      <c r="C340" s="85" t="s">
        <v>4683</v>
      </c>
      <c r="D340" s="86" t="s">
        <v>4683</v>
      </c>
      <c r="E340" s="85" t="s">
        <v>6108</v>
      </c>
      <c r="F340" s="86" t="s">
        <v>6108</v>
      </c>
      <c r="G340" s="85" t="s">
        <v>573</v>
      </c>
      <c r="H340" s="87"/>
    </row>
    <row r="341">
      <c r="A341" s="84">
        <v>1594575.0</v>
      </c>
      <c r="B341" s="85" t="s">
        <v>4780</v>
      </c>
      <c r="C341" s="85" t="s">
        <v>4789</v>
      </c>
      <c r="D341" s="86" t="s">
        <v>4789</v>
      </c>
      <c r="E341" s="85" t="s">
        <v>6109</v>
      </c>
      <c r="F341" s="86" t="s">
        <v>6109</v>
      </c>
      <c r="G341" s="85" t="s">
        <v>573</v>
      </c>
      <c r="H341" s="87"/>
    </row>
    <row r="342">
      <c r="A342" s="84">
        <v>1594520.0</v>
      </c>
      <c r="B342" s="85" t="s">
        <v>4780</v>
      </c>
      <c r="C342" s="85" t="s">
        <v>4783</v>
      </c>
      <c r="D342" s="86" t="s">
        <v>4783</v>
      </c>
      <c r="E342" s="85" t="s">
        <v>6109</v>
      </c>
      <c r="F342" s="86" t="s">
        <v>6109</v>
      </c>
      <c r="G342" s="85" t="s">
        <v>573</v>
      </c>
      <c r="H342" s="87"/>
    </row>
    <row r="343">
      <c r="A343" s="84">
        <v>4.014400925319E12</v>
      </c>
      <c r="B343" s="85" t="s">
        <v>4868</v>
      </c>
      <c r="C343" s="85" t="s">
        <v>4877</v>
      </c>
      <c r="D343" s="86" t="s">
        <v>4877</v>
      </c>
      <c r="E343" s="85" t="s">
        <v>6110</v>
      </c>
      <c r="F343" s="86" t="s">
        <v>6110</v>
      </c>
      <c r="G343" s="85" t="s">
        <v>113</v>
      </c>
      <c r="H343" s="87"/>
    </row>
    <row r="344">
      <c r="A344" s="84">
        <v>7.290013586285E12</v>
      </c>
      <c r="B344" s="85" t="s">
        <v>4910</v>
      </c>
      <c r="C344" s="85" t="s">
        <v>4919</v>
      </c>
      <c r="D344" s="86" t="s">
        <v>4919</v>
      </c>
      <c r="E344" s="85" t="s">
        <v>6111</v>
      </c>
      <c r="F344" s="86" t="s">
        <v>6111</v>
      </c>
      <c r="G344" s="85" t="s">
        <v>573</v>
      </c>
      <c r="H344" s="87"/>
    </row>
    <row r="345">
      <c r="A345" s="84">
        <v>7.290013585899E12</v>
      </c>
      <c r="B345" s="85" t="s">
        <v>4910</v>
      </c>
      <c r="C345" s="85" t="s">
        <v>4913</v>
      </c>
      <c r="D345" s="86" t="s">
        <v>4913</v>
      </c>
      <c r="E345" s="85" t="s">
        <v>6111</v>
      </c>
      <c r="F345" s="86" t="s">
        <v>6111</v>
      </c>
      <c r="G345" s="85" t="s">
        <v>573</v>
      </c>
      <c r="H345" s="87"/>
    </row>
    <row r="346">
      <c r="A346" s="84">
        <v>7.290000135113E12</v>
      </c>
      <c r="B346" s="85" t="s">
        <v>4923</v>
      </c>
      <c r="C346" s="85" t="s">
        <v>4933</v>
      </c>
      <c r="D346" s="86" t="s">
        <v>4933</v>
      </c>
      <c r="E346" s="85" t="s">
        <v>6112</v>
      </c>
      <c r="F346" s="86" t="s">
        <v>6112</v>
      </c>
      <c r="G346" s="85" t="s">
        <v>573</v>
      </c>
      <c r="H346" s="87"/>
    </row>
    <row r="347">
      <c r="A347" s="84">
        <v>5.906485301012E12</v>
      </c>
      <c r="B347" s="85" t="s">
        <v>4923</v>
      </c>
      <c r="C347" s="85" t="s">
        <v>4926</v>
      </c>
      <c r="D347" s="86" t="s">
        <v>4926</v>
      </c>
      <c r="E347" s="85" t="s">
        <v>6112</v>
      </c>
      <c r="F347" s="86" t="s">
        <v>6112</v>
      </c>
      <c r="G347" s="85" t="s">
        <v>573</v>
      </c>
      <c r="H347" s="87"/>
    </row>
    <row r="348">
      <c r="A348" s="84">
        <v>5.902198160403E12</v>
      </c>
      <c r="B348" s="85" t="s">
        <v>4923</v>
      </c>
      <c r="C348" s="85" t="s">
        <v>4951</v>
      </c>
      <c r="D348" s="86" t="s">
        <v>4951</v>
      </c>
      <c r="E348" s="85" t="s">
        <v>6112</v>
      </c>
      <c r="F348" s="86" t="s">
        <v>6112</v>
      </c>
      <c r="G348" s="85" t="s">
        <v>573</v>
      </c>
      <c r="H348" s="87"/>
    </row>
    <row r="349">
      <c r="A349" s="84">
        <v>135052.0</v>
      </c>
      <c r="B349" s="85" t="s">
        <v>4923</v>
      </c>
      <c r="C349" s="85" t="s">
        <v>4945</v>
      </c>
      <c r="D349" s="86" t="s">
        <v>4945</v>
      </c>
      <c r="E349" s="85" t="s">
        <v>6112</v>
      </c>
      <c r="F349" s="86" t="s">
        <v>6112</v>
      </c>
      <c r="G349" s="85" t="s">
        <v>573</v>
      </c>
      <c r="H349" s="87"/>
    </row>
    <row r="350">
      <c r="A350" s="84">
        <v>8.005200486526E12</v>
      </c>
      <c r="B350" s="85" t="s">
        <v>3019</v>
      </c>
      <c r="C350" s="85" t="s">
        <v>3028</v>
      </c>
      <c r="D350" s="86" t="s">
        <v>3028</v>
      </c>
      <c r="E350" s="85" t="s">
        <v>6113</v>
      </c>
      <c r="F350" s="86" t="s">
        <v>6113</v>
      </c>
      <c r="G350" s="85" t="s">
        <v>573</v>
      </c>
      <c r="H350" s="87"/>
    </row>
    <row r="351">
      <c r="A351" s="84">
        <v>7.50106419669E12</v>
      </c>
      <c r="B351" s="85" t="s">
        <v>913</v>
      </c>
      <c r="C351" s="85" t="s">
        <v>923</v>
      </c>
      <c r="D351" s="86" t="s">
        <v>923</v>
      </c>
      <c r="E351" s="85" t="s">
        <v>6114</v>
      </c>
      <c r="F351" s="86" t="s">
        <v>6114</v>
      </c>
      <c r="G351" s="85" t="s">
        <v>573</v>
      </c>
      <c r="H351" s="87"/>
    </row>
    <row r="352">
      <c r="A352" s="89">
        <v>2542506.0</v>
      </c>
      <c r="B352" s="84" t="s">
        <v>913</v>
      </c>
      <c r="C352" s="85" t="s">
        <v>917</v>
      </c>
      <c r="D352" s="86" t="s">
        <v>917</v>
      </c>
      <c r="E352" s="85" t="s">
        <v>6114</v>
      </c>
      <c r="F352" s="86" t="s">
        <v>6114</v>
      </c>
      <c r="G352" s="85" t="s">
        <v>573</v>
      </c>
      <c r="H352" s="87"/>
    </row>
    <row r="353">
      <c r="A353" s="89">
        <v>7.290110563431E12</v>
      </c>
      <c r="B353" s="84" t="s">
        <v>1886</v>
      </c>
      <c r="C353" s="85" t="s">
        <v>1895</v>
      </c>
      <c r="D353" s="86" t="s">
        <v>1895</v>
      </c>
      <c r="E353" s="85" t="s">
        <v>6115</v>
      </c>
      <c r="F353" s="86" t="s">
        <v>6115</v>
      </c>
      <c r="G353" s="85" t="s">
        <v>983</v>
      </c>
      <c r="H353" s="87"/>
    </row>
    <row r="354">
      <c r="A354" s="89">
        <v>7.290110563448E12</v>
      </c>
      <c r="B354" s="84" t="s">
        <v>1886</v>
      </c>
      <c r="C354" s="85" t="s">
        <v>1889</v>
      </c>
      <c r="D354" s="86" t="s">
        <v>1889</v>
      </c>
      <c r="E354" s="85" t="s">
        <v>6115</v>
      </c>
      <c r="F354" s="86" t="s">
        <v>6115</v>
      </c>
      <c r="G354" s="85" t="s">
        <v>983</v>
      </c>
      <c r="H354" s="87"/>
    </row>
    <row r="355">
      <c r="A355" s="89">
        <v>7.290110564742E12</v>
      </c>
      <c r="B355" s="84" t="s">
        <v>1886</v>
      </c>
      <c r="C355" s="85" t="s">
        <v>1901</v>
      </c>
      <c r="D355" s="86" t="s">
        <v>1901</v>
      </c>
      <c r="E355" s="85" t="s">
        <v>6115</v>
      </c>
      <c r="F355" s="86" t="s">
        <v>6115</v>
      </c>
      <c r="G355" s="85" t="s">
        <v>983</v>
      </c>
      <c r="H355" s="87"/>
    </row>
    <row r="356">
      <c r="A356" s="89">
        <v>7.290106663121E12</v>
      </c>
      <c r="B356" s="84" t="s">
        <v>2760</v>
      </c>
      <c r="C356" s="85" t="s">
        <v>2755</v>
      </c>
      <c r="D356" s="86" t="s">
        <v>2755</v>
      </c>
      <c r="E356" s="85" t="s">
        <v>6116</v>
      </c>
      <c r="F356" s="86" t="s">
        <v>6116</v>
      </c>
      <c r="G356" s="85" t="s">
        <v>983</v>
      </c>
      <c r="H356" s="87"/>
    </row>
    <row r="357">
      <c r="A357" s="89">
        <v>7.2940761E7</v>
      </c>
      <c r="B357" s="84" t="s">
        <v>2751</v>
      </c>
      <c r="C357" s="85" t="s">
        <v>2747</v>
      </c>
      <c r="D357" s="86" t="s">
        <v>2747</v>
      </c>
      <c r="E357" s="85" t="s">
        <v>6117</v>
      </c>
      <c r="F357" s="86" t="s">
        <v>6117</v>
      </c>
      <c r="G357" s="85" t="s">
        <v>983</v>
      </c>
      <c r="H357" s="87"/>
    </row>
    <row r="358">
      <c r="A358" s="89">
        <v>7.290104066016E12</v>
      </c>
      <c r="B358" s="84" t="s">
        <v>2751</v>
      </c>
      <c r="C358" s="85" t="s">
        <v>2770</v>
      </c>
      <c r="D358" s="86" t="s">
        <v>2770</v>
      </c>
      <c r="E358" s="85" t="s">
        <v>6117</v>
      </c>
      <c r="F358" s="86" t="s">
        <v>6117</v>
      </c>
      <c r="G358" s="85" t="s">
        <v>983</v>
      </c>
      <c r="H358" s="87"/>
    </row>
    <row r="359">
      <c r="A359" s="89">
        <v>5839313.0</v>
      </c>
      <c r="B359" s="84" t="s">
        <v>2751</v>
      </c>
      <c r="C359" s="85" t="s">
        <v>2764</v>
      </c>
      <c r="D359" s="86" t="s">
        <v>2764</v>
      </c>
      <c r="E359" s="85" t="s">
        <v>6117</v>
      </c>
      <c r="F359" s="86" t="s">
        <v>6117</v>
      </c>
      <c r="G359" s="85" t="s">
        <v>983</v>
      </c>
      <c r="H359" s="87"/>
    </row>
    <row r="360">
      <c r="A360" s="89">
        <v>5838002.0</v>
      </c>
      <c r="B360" s="84" t="s">
        <v>1007</v>
      </c>
      <c r="C360" s="85" t="s">
        <v>1010</v>
      </c>
      <c r="D360" s="86" t="s">
        <v>1010</v>
      </c>
      <c r="E360" s="85" t="s">
        <v>6118</v>
      </c>
      <c r="F360" s="86" t="s">
        <v>6118</v>
      </c>
      <c r="G360" s="85" t="s">
        <v>983</v>
      </c>
      <c r="H360" s="92"/>
    </row>
    <row r="361">
      <c r="A361" s="89">
        <v>408316.0</v>
      </c>
      <c r="B361" s="84" t="s">
        <v>1039</v>
      </c>
      <c r="C361" s="85" t="s">
        <v>1035</v>
      </c>
      <c r="D361" s="86" t="s">
        <v>1035</v>
      </c>
      <c r="E361" s="85" t="s">
        <v>6119</v>
      </c>
      <c r="F361" s="86" t="s">
        <v>6119</v>
      </c>
      <c r="G361" s="85" t="s">
        <v>983</v>
      </c>
      <c r="H361" s="92"/>
    </row>
    <row r="362">
      <c r="A362" s="89">
        <v>4584528.0</v>
      </c>
      <c r="B362" s="84" t="s">
        <v>1039</v>
      </c>
      <c r="C362" s="85" t="s">
        <v>1085</v>
      </c>
      <c r="D362" s="86" t="s">
        <v>1085</v>
      </c>
      <c r="E362" s="85" t="s">
        <v>6119</v>
      </c>
      <c r="F362" s="86" t="s">
        <v>6119</v>
      </c>
      <c r="G362" s="85" t="s">
        <v>983</v>
      </c>
      <c r="H362" s="92"/>
    </row>
    <row r="363">
      <c r="A363" s="89">
        <v>3321155.0</v>
      </c>
      <c r="B363" s="84" t="s">
        <v>1017</v>
      </c>
      <c r="C363" s="85" t="s">
        <v>1051</v>
      </c>
      <c r="D363" s="86" t="s">
        <v>1051</v>
      </c>
      <c r="E363" s="85" t="s">
        <v>6120</v>
      </c>
      <c r="F363" s="86" t="s">
        <v>6120</v>
      </c>
      <c r="G363" s="85" t="s">
        <v>983</v>
      </c>
      <c r="H363" s="92"/>
    </row>
    <row r="364">
      <c r="A364" s="89">
        <v>408354.0</v>
      </c>
      <c r="B364" s="84" t="s">
        <v>1017</v>
      </c>
      <c r="C364" s="85" t="s">
        <v>1029</v>
      </c>
      <c r="D364" s="86" t="s">
        <v>1029</v>
      </c>
      <c r="E364" s="85" t="s">
        <v>6120</v>
      </c>
      <c r="F364" s="86" t="s">
        <v>6120</v>
      </c>
      <c r="G364" s="85" t="s">
        <v>983</v>
      </c>
      <c r="H364" s="92"/>
    </row>
    <row r="365">
      <c r="A365" s="89">
        <v>7.290110326241E12</v>
      </c>
      <c r="B365" s="84" t="s">
        <v>4987</v>
      </c>
      <c r="C365" s="85" t="s">
        <v>4996</v>
      </c>
      <c r="D365" s="86" t="s">
        <v>4996</v>
      </c>
      <c r="E365" s="85" t="s">
        <v>6121</v>
      </c>
      <c r="F365" s="86" t="s">
        <v>6121</v>
      </c>
      <c r="G365" s="85" t="s">
        <v>983</v>
      </c>
      <c r="H365" s="92"/>
    </row>
    <row r="366">
      <c r="A366" s="89">
        <v>7.290110326234E12</v>
      </c>
      <c r="B366" s="84" t="s">
        <v>4987</v>
      </c>
      <c r="C366" s="85" t="s">
        <v>5002</v>
      </c>
      <c r="D366" s="86" t="s">
        <v>5002</v>
      </c>
      <c r="E366" s="85" t="s">
        <v>6121</v>
      </c>
      <c r="F366" s="86" t="s">
        <v>6121</v>
      </c>
      <c r="G366" s="85" t="s">
        <v>983</v>
      </c>
      <c r="H366" s="92"/>
    </row>
    <row r="367">
      <c r="A367" s="89">
        <v>7.29011032621E12</v>
      </c>
      <c r="B367" s="84" t="s">
        <v>4987</v>
      </c>
      <c r="C367" s="85" t="s">
        <v>4990</v>
      </c>
      <c r="D367" s="86" t="s">
        <v>4990</v>
      </c>
      <c r="E367" s="85" t="s">
        <v>6121</v>
      </c>
      <c r="F367" s="86" t="s">
        <v>6121</v>
      </c>
      <c r="G367" s="85" t="s">
        <v>983</v>
      </c>
      <c r="H367" s="92"/>
    </row>
    <row r="368">
      <c r="A368" s="89">
        <v>7.290110324612E12</v>
      </c>
      <c r="B368" s="84" t="s">
        <v>4987</v>
      </c>
      <c r="C368" s="85" t="s">
        <v>5014</v>
      </c>
      <c r="D368" s="86" t="s">
        <v>5014</v>
      </c>
      <c r="E368" s="85" t="s">
        <v>6121</v>
      </c>
      <c r="F368" s="86" t="s">
        <v>6121</v>
      </c>
      <c r="G368" s="85" t="s">
        <v>983</v>
      </c>
      <c r="H368" s="92"/>
    </row>
    <row r="369">
      <c r="A369" s="89">
        <v>7.290110324636E12</v>
      </c>
      <c r="B369" s="84" t="s">
        <v>4987</v>
      </c>
      <c r="C369" s="85" t="s">
        <v>5008</v>
      </c>
      <c r="D369" s="86" t="s">
        <v>5008</v>
      </c>
      <c r="E369" s="85" t="s">
        <v>6121</v>
      </c>
      <c r="F369" s="86" t="s">
        <v>6121</v>
      </c>
      <c r="G369" s="85" t="s">
        <v>983</v>
      </c>
      <c r="H369" s="92"/>
    </row>
    <row r="370">
      <c r="A370" s="89">
        <v>5431999.0</v>
      </c>
      <c r="B370" s="84" t="s">
        <v>1142</v>
      </c>
      <c r="C370" s="85" t="s">
        <v>1152</v>
      </c>
      <c r="D370" s="86" t="s">
        <v>1152</v>
      </c>
      <c r="E370" s="85" t="s">
        <v>6122</v>
      </c>
      <c r="F370" s="86" t="s">
        <v>6122</v>
      </c>
      <c r="G370" s="85" t="s">
        <v>983</v>
      </c>
      <c r="H370" s="92"/>
    </row>
    <row r="371">
      <c r="A371" s="89">
        <v>5431128.0</v>
      </c>
      <c r="B371" s="84" t="s">
        <v>1142</v>
      </c>
      <c r="C371" s="85" t="s">
        <v>1145</v>
      </c>
      <c r="D371" s="86" t="s">
        <v>1145</v>
      </c>
      <c r="E371" s="85" t="s">
        <v>6122</v>
      </c>
      <c r="F371" s="86" t="s">
        <v>6122</v>
      </c>
      <c r="G371" s="85" t="s">
        <v>983</v>
      </c>
      <c r="H371" s="92"/>
    </row>
    <row r="372">
      <c r="A372" s="89">
        <v>7.290110325916E12</v>
      </c>
      <c r="B372" s="84" t="s">
        <v>4987</v>
      </c>
      <c r="C372" s="85" t="s">
        <v>6001</v>
      </c>
      <c r="D372" s="86" t="s">
        <v>6001</v>
      </c>
      <c r="E372" s="85" t="s">
        <v>6121</v>
      </c>
      <c r="F372" s="86" t="s">
        <v>6121</v>
      </c>
      <c r="G372" s="85" t="s">
        <v>983</v>
      </c>
      <c r="H372" s="92"/>
    </row>
    <row r="373">
      <c r="A373" s="89">
        <v>7.290110325909E12</v>
      </c>
      <c r="B373" s="84" t="s">
        <v>4987</v>
      </c>
      <c r="C373" s="85" t="s">
        <v>6002</v>
      </c>
      <c r="D373" s="86" t="s">
        <v>6002</v>
      </c>
      <c r="E373" s="85" t="s">
        <v>6121</v>
      </c>
      <c r="F373" s="86" t="s">
        <v>6121</v>
      </c>
      <c r="G373" s="85" t="s">
        <v>983</v>
      </c>
      <c r="H373" s="92"/>
    </row>
    <row r="374">
      <c r="A374" s="89">
        <v>40042.0</v>
      </c>
      <c r="B374" s="84" t="s">
        <v>4987</v>
      </c>
      <c r="C374" s="85" t="s">
        <v>5026</v>
      </c>
      <c r="D374" s="86" t="s">
        <v>5026</v>
      </c>
      <c r="E374" s="85" t="s">
        <v>6121</v>
      </c>
      <c r="F374" s="86" t="s">
        <v>6121</v>
      </c>
      <c r="G374" s="85" t="s">
        <v>983</v>
      </c>
      <c r="H374" s="92"/>
    </row>
    <row r="375">
      <c r="A375" s="89">
        <v>40080.0</v>
      </c>
      <c r="B375" s="84" t="s">
        <v>4987</v>
      </c>
      <c r="C375" s="85" t="s">
        <v>5020</v>
      </c>
      <c r="D375" s="86" t="s">
        <v>5020</v>
      </c>
      <c r="E375" s="85" t="s">
        <v>6121</v>
      </c>
      <c r="F375" s="86" t="s">
        <v>6121</v>
      </c>
      <c r="G375" s="85" t="s">
        <v>983</v>
      </c>
      <c r="H375" s="92"/>
    </row>
    <row r="376">
      <c r="A376" s="89">
        <v>7.290110321703E12</v>
      </c>
      <c r="B376" s="84" t="s">
        <v>4979</v>
      </c>
      <c r="C376" s="85" t="s">
        <v>4983</v>
      </c>
      <c r="D376" s="86" t="s">
        <v>4983</v>
      </c>
      <c r="E376" s="85" t="s">
        <v>6123</v>
      </c>
      <c r="F376" s="86" t="s">
        <v>6123</v>
      </c>
      <c r="G376" s="85" t="s">
        <v>983</v>
      </c>
      <c r="H376" s="92"/>
    </row>
    <row r="377">
      <c r="A377" s="89">
        <v>7.29011032168E12</v>
      </c>
      <c r="B377" s="84" t="s">
        <v>4979</v>
      </c>
      <c r="C377" s="85" t="s">
        <v>4976</v>
      </c>
      <c r="D377" s="86" t="s">
        <v>4976</v>
      </c>
      <c r="E377" s="85" t="s">
        <v>6123</v>
      </c>
      <c r="F377" s="86" t="s">
        <v>6123</v>
      </c>
      <c r="G377" s="85" t="s">
        <v>983</v>
      </c>
      <c r="H377" s="92"/>
    </row>
    <row r="378">
      <c r="A378" s="89">
        <v>7.290110565527E12</v>
      </c>
      <c r="B378" s="84" t="s">
        <v>1025</v>
      </c>
      <c r="C378" s="85" t="s">
        <v>1071</v>
      </c>
      <c r="D378" s="86" t="s">
        <v>1071</v>
      </c>
      <c r="E378" s="85" t="s">
        <v>6124</v>
      </c>
      <c r="F378" s="86" t="s">
        <v>6124</v>
      </c>
      <c r="G378" s="85" t="s">
        <v>983</v>
      </c>
      <c r="H378" s="92"/>
    </row>
    <row r="379">
      <c r="A379" s="89">
        <v>7.290112330352E12</v>
      </c>
      <c r="B379" s="84" t="s">
        <v>1025</v>
      </c>
      <c r="C379" s="85" t="s">
        <v>1057</v>
      </c>
      <c r="D379" s="86" t="s">
        <v>1057</v>
      </c>
      <c r="E379" s="85" t="s">
        <v>6124</v>
      </c>
      <c r="F379" s="86" t="s">
        <v>6124</v>
      </c>
      <c r="G379" s="85" t="s">
        <v>983</v>
      </c>
      <c r="H379" s="92"/>
    </row>
    <row r="380">
      <c r="A380" s="89">
        <v>7.290110566975E12</v>
      </c>
      <c r="B380" s="84" t="s">
        <v>1025</v>
      </c>
      <c r="C380" s="85" t="s">
        <v>1020</v>
      </c>
      <c r="D380" s="86" t="s">
        <v>1020</v>
      </c>
      <c r="E380" s="85" t="s">
        <v>6124</v>
      </c>
      <c r="F380" s="86" t="s">
        <v>6124</v>
      </c>
      <c r="G380" s="85" t="s">
        <v>983</v>
      </c>
      <c r="H380" s="92"/>
    </row>
    <row r="381">
      <c r="A381" s="89">
        <v>4122195.0</v>
      </c>
      <c r="B381" s="84" t="s">
        <v>1765</v>
      </c>
      <c r="C381" s="85" t="s">
        <v>1760</v>
      </c>
      <c r="D381" s="86" t="s">
        <v>1760</v>
      </c>
      <c r="E381" s="85" t="s">
        <v>6125</v>
      </c>
      <c r="F381" s="86" t="s">
        <v>6125</v>
      </c>
      <c r="G381" s="85" t="s">
        <v>983</v>
      </c>
      <c r="H381" s="92"/>
    </row>
    <row r="382">
      <c r="A382" s="89">
        <v>7.290105368959E12</v>
      </c>
      <c r="B382" s="84" t="s">
        <v>5062</v>
      </c>
      <c r="C382" s="85" t="s">
        <v>5065</v>
      </c>
      <c r="D382" s="86" t="s">
        <v>5065</v>
      </c>
      <c r="E382" s="85" t="s">
        <v>6126</v>
      </c>
      <c r="F382" s="86" t="s">
        <v>6126</v>
      </c>
      <c r="G382" s="85" t="s">
        <v>983</v>
      </c>
      <c r="H382" s="92"/>
    </row>
    <row r="383">
      <c r="A383" s="89">
        <v>3029433.0</v>
      </c>
      <c r="B383" s="84" t="s">
        <v>5062</v>
      </c>
      <c r="C383" s="85" t="s">
        <v>5083</v>
      </c>
      <c r="D383" s="86" t="s">
        <v>5083</v>
      </c>
      <c r="E383" s="85" t="s">
        <v>6126</v>
      </c>
      <c r="F383" s="86" t="s">
        <v>6126</v>
      </c>
      <c r="G383" s="85" t="s">
        <v>983</v>
      </c>
      <c r="H383" s="92"/>
    </row>
    <row r="384">
      <c r="A384" s="89">
        <v>7.290112342621E12</v>
      </c>
      <c r="B384" s="84" t="s">
        <v>5062</v>
      </c>
      <c r="C384" s="85" t="s">
        <v>5089</v>
      </c>
      <c r="D384" s="86" t="s">
        <v>5089</v>
      </c>
      <c r="E384" s="85" t="s">
        <v>6126</v>
      </c>
      <c r="F384" s="86" t="s">
        <v>6126</v>
      </c>
      <c r="G384" s="85" t="s">
        <v>983</v>
      </c>
      <c r="H384" s="92"/>
    </row>
    <row r="385">
      <c r="A385" s="89">
        <v>7.290112341112E12</v>
      </c>
      <c r="B385" s="84" t="s">
        <v>5062</v>
      </c>
      <c r="C385" s="85" t="s">
        <v>5077</v>
      </c>
      <c r="D385" s="86" t="s">
        <v>5077</v>
      </c>
      <c r="E385" s="85" t="s">
        <v>6126</v>
      </c>
      <c r="F385" s="86" t="s">
        <v>6126</v>
      </c>
      <c r="G385" s="85" t="s">
        <v>983</v>
      </c>
      <c r="H385" s="92"/>
    </row>
    <row r="386">
      <c r="A386" s="89">
        <v>7.290011438142E12</v>
      </c>
      <c r="B386" s="84" t="s">
        <v>5062</v>
      </c>
      <c r="C386" s="85" t="s">
        <v>5071</v>
      </c>
      <c r="D386" s="86" t="s">
        <v>5071</v>
      </c>
      <c r="E386" s="85" t="s">
        <v>6126</v>
      </c>
      <c r="F386" s="86" t="s">
        <v>6126</v>
      </c>
      <c r="G386" s="85" t="s">
        <v>983</v>
      </c>
      <c r="H386" s="92"/>
    </row>
    <row r="387">
      <c r="A387" s="89">
        <v>4136130.0</v>
      </c>
      <c r="B387" s="84" t="s">
        <v>4746</v>
      </c>
      <c r="C387" s="85" t="s">
        <v>4749</v>
      </c>
      <c r="D387" s="86" t="s">
        <v>4749</v>
      </c>
      <c r="E387" s="85" t="s">
        <v>6127</v>
      </c>
      <c r="F387" s="86" t="s">
        <v>6127</v>
      </c>
      <c r="G387" s="85" t="s">
        <v>983</v>
      </c>
      <c r="H387" s="92"/>
    </row>
    <row r="388">
      <c r="A388" s="89">
        <v>52304.0</v>
      </c>
      <c r="B388" s="84" t="s">
        <v>4746</v>
      </c>
      <c r="C388" s="85" t="s">
        <v>4755</v>
      </c>
      <c r="D388" s="86" t="s">
        <v>4755</v>
      </c>
      <c r="E388" s="85" t="s">
        <v>6127</v>
      </c>
      <c r="F388" s="86" t="s">
        <v>6127</v>
      </c>
      <c r="G388" s="85" t="s">
        <v>983</v>
      </c>
      <c r="H388" s="92"/>
    </row>
    <row r="389">
      <c r="A389" s="89">
        <v>4136154.0</v>
      </c>
      <c r="B389" s="84" t="s">
        <v>4746</v>
      </c>
      <c r="C389" s="85" t="s">
        <v>4761</v>
      </c>
      <c r="D389" s="86" t="s">
        <v>4761</v>
      </c>
      <c r="E389" s="85" t="s">
        <v>6127</v>
      </c>
      <c r="F389" s="86" t="s">
        <v>6127</v>
      </c>
      <c r="G389" s="85" t="s">
        <v>983</v>
      </c>
      <c r="H389" s="92"/>
    </row>
    <row r="390">
      <c r="A390" s="89">
        <v>7.290110326999E12</v>
      </c>
      <c r="B390" s="84" t="s">
        <v>4966</v>
      </c>
      <c r="C390" s="85" t="s">
        <v>4963</v>
      </c>
      <c r="D390" s="86" t="s">
        <v>4963</v>
      </c>
      <c r="E390" s="85" t="s">
        <v>6128</v>
      </c>
      <c r="F390" s="86" t="s">
        <v>6128</v>
      </c>
      <c r="G390" s="85" t="s">
        <v>983</v>
      </c>
      <c r="H390" s="92"/>
    </row>
    <row r="391">
      <c r="A391" s="89">
        <v>7.290107951395E12</v>
      </c>
      <c r="B391" s="84" t="s">
        <v>1081</v>
      </c>
      <c r="C391" s="85" t="s">
        <v>3922</v>
      </c>
      <c r="D391" s="86" t="s">
        <v>3922</v>
      </c>
      <c r="E391" s="85" t="s">
        <v>6129</v>
      </c>
      <c r="F391" s="86" t="s">
        <v>6129</v>
      </c>
      <c r="G391" s="85" t="s">
        <v>983</v>
      </c>
      <c r="H391" s="92"/>
    </row>
    <row r="392">
      <c r="A392" s="89">
        <v>7.290107951401E12</v>
      </c>
      <c r="B392" s="84" t="s">
        <v>1081</v>
      </c>
      <c r="C392" s="85" t="s">
        <v>3910</v>
      </c>
      <c r="D392" s="86" t="s">
        <v>3910</v>
      </c>
      <c r="E392" s="85" t="s">
        <v>6129</v>
      </c>
      <c r="F392" s="86" t="s">
        <v>6129</v>
      </c>
      <c r="G392" s="85" t="s">
        <v>983</v>
      </c>
      <c r="H392" s="92"/>
    </row>
    <row r="393">
      <c r="A393" s="89">
        <v>7.290107954976E12</v>
      </c>
      <c r="B393" s="84" t="s">
        <v>1081</v>
      </c>
      <c r="C393" s="85" t="s">
        <v>3916</v>
      </c>
      <c r="D393" s="86" t="s">
        <v>3916</v>
      </c>
      <c r="E393" s="85" t="s">
        <v>6129</v>
      </c>
      <c r="F393" s="86" t="s">
        <v>6129</v>
      </c>
      <c r="G393" s="85" t="s">
        <v>983</v>
      </c>
      <c r="H393" s="92"/>
    </row>
    <row r="394">
      <c r="A394" s="89">
        <v>7.290110568276E12</v>
      </c>
      <c r="B394" s="84" t="s">
        <v>1081</v>
      </c>
      <c r="C394" s="85" t="s">
        <v>1077</v>
      </c>
      <c r="D394" s="86" t="s">
        <v>1077</v>
      </c>
      <c r="E394" s="85" t="s">
        <v>6129</v>
      </c>
      <c r="F394" s="86" t="s">
        <v>6129</v>
      </c>
      <c r="G394" s="85" t="s">
        <v>983</v>
      </c>
      <c r="H394" s="92"/>
    </row>
    <row r="395">
      <c r="A395" s="89">
        <v>7.29011234342E12</v>
      </c>
      <c r="B395" s="84" t="s">
        <v>1081</v>
      </c>
      <c r="C395" s="85" t="s">
        <v>3904</v>
      </c>
      <c r="D395" s="86" t="s">
        <v>3904</v>
      </c>
      <c r="E395" s="85" t="s">
        <v>6129</v>
      </c>
      <c r="F395" s="86" t="s">
        <v>6129</v>
      </c>
      <c r="G395" s="85" t="s">
        <v>983</v>
      </c>
      <c r="H395" s="92"/>
    </row>
    <row r="396">
      <c r="A396" s="89">
        <v>7.29011233097E12</v>
      </c>
      <c r="B396" s="84" t="s">
        <v>1081</v>
      </c>
      <c r="C396" s="85" t="s">
        <v>3928</v>
      </c>
      <c r="D396" s="86" t="s">
        <v>3928</v>
      </c>
      <c r="E396" s="85" t="s">
        <v>6129</v>
      </c>
      <c r="F396" s="86" t="s">
        <v>6129</v>
      </c>
      <c r="G396" s="85" t="s">
        <v>983</v>
      </c>
      <c r="H396" s="92"/>
    </row>
    <row r="397">
      <c r="A397" s="89">
        <v>7.290112330987E12</v>
      </c>
      <c r="B397" s="84" t="s">
        <v>1081</v>
      </c>
      <c r="C397" s="85" t="s">
        <v>3934</v>
      </c>
      <c r="D397" s="86" t="s">
        <v>3934</v>
      </c>
      <c r="E397" s="85" t="s">
        <v>6129</v>
      </c>
      <c r="F397" s="86" t="s">
        <v>6129</v>
      </c>
      <c r="G397" s="85" t="s">
        <v>983</v>
      </c>
      <c r="H397" s="92"/>
    </row>
    <row r="398">
      <c r="A398" s="89">
        <v>7.290110565497E12</v>
      </c>
      <c r="B398" s="84" t="s">
        <v>3895</v>
      </c>
      <c r="C398" s="85" t="s">
        <v>3898</v>
      </c>
      <c r="D398" s="86" t="s">
        <v>3898</v>
      </c>
      <c r="E398" s="85" t="s">
        <v>6130</v>
      </c>
      <c r="F398" s="86" t="s">
        <v>6130</v>
      </c>
      <c r="G398" s="85" t="s">
        <v>983</v>
      </c>
      <c r="H398" s="92"/>
    </row>
    <row r="399">
      <c r="A399" s="89">
        <v>7.290110323066E12</v>
      </c>
      <c r="B399" s="84" t="s">
        <v>1671</v>
      </c>
      <c r="C399" s="85" t="s">
        <v>1668</v>
      </c>
      <c r="D399" s="86" t="s">
        <v>1668</v>
      </c>
      <c r="E399" s="85" t="s">
        <v>6131</v>
      </c>
      <c r="F399" s="86" t="s">
        <v>6131</v>
      </c>
      <c r="G399" s="85" t="s">
        <v>983</v>
      </c>
      <c r="H399" s="92"/>
    </row>
    <row r="400">
      <c r="A400" s="89">
        <v>7.290110323073E12</v>
      </c>
      <c r="B400" s="84" t="s">
        <v>1671</v>
      </c>
      <c r="C400" s="85" t="s">
        <v>1675</v>
      </c>
      <c r="D400" s="86" t="s">
        <v>1675</v>
      </c>
      <c r="E400" s="85" t="s">
        <v>6131</v>
      </c>
      <c r="F400" s="86" t="s">
        <v>6131</v>
      </c>
      <c r="G400" s="85" t="s">
        <v>983</v>
      </c>
      <c r="H400" s="92"/>
    </row>
    <row r="401">
      <c r="A401" s="89">
        <v>7.290110325893E12</v>
      </c>
      <c r="B401" s="84" t="s">
        <v>1671</v>
      </c>
      <c r="C401" s="85" t="s">
        <v>1707</v>
      </c>
      <c r="D401" s="86" t="s">
        <v>1707</v>
      </c>
      <c r="E401" s="85" t="s">
        <v>6131</v>
      </c>
      <c r="F401" s="86" t="s">
        <v>6131</v>
      </c>
      <c r="G401" s="85" t="s">
        <v>983</v>
      </c>
      <c r="H401" s="92"/>
    </row>
    <row r="402">
      <c r="A402" s="89">
        <v>7.290110324773E12</v>
      </c>
      <c r="B402" s="84" t="s">
        <v>1671</v>
      </c>
      <c r="C402" s="85" t="s">
        <v>1713</v>
      </c>
      <c r="D402" s="86" t="s">
        <v>1713</v>
      </c>
      <c r="E402" s="85" t="s">
        <v>6131</v>
      </c>
      <c r="F402" s="86" t="s">
        <v>6131</v>
      </c>
      <c r="G402" s="85" t="s">
        <v>983</v>
      </c>
      <c r="H402" s="92"/>
    </row>
    <row r="403">
      <c r="A403" s="89">
        <v>7.290014763678E12</v>
      </c>
      <c r="B403" s="84" t="s">
        <v>1717</v>
      </c>
      <c r="C403" s="85" t="s">
        <v>1720</v>
      </c>
      <c r="D403" s="86" t="s">
        <v>1720</v>
      </c>
      <c r="E403" s="85" t="s">
        <v>6132</v>
      </c>
      <c r="F403" s="86" t="s">
        <v>6132</v>
      </c>
      <c r="G403" s="85" t="s">
        <v>983</v>
      </c>
      <c r="H403" s="92"/>
    </row>
    <row r="404">
      <c r="A404" s="89">
        <v>7.290110325886E12</v>
      </c>
      <c r="B404" s="84" t="s">
        <v>1717</v>
      </c>
      <c r="C404" s="85" t="s">
        <v>1726</v>
      </c>
      <c r="D404" s="86" t="s">
        <v>1726</v>
      </c>
      <c r="E404" s="85" t="s">
        <v>6132</v>
      </c>
      <c r="F404" s="86" t="s">
        <v>6132</v>
      </c>
      <c r="G404" s="85" t="s">
        <v>983</v>
      </c>
      <c r="H404" s="92"/>
    </row>
    <row r="405">
      <c r="A405" s="89">
        <v>7.290105965738E12</v>
      </c>
      <c r="B405" s="84" t="s">
        <v>1047</v>
      </c>
      <c r="C405" s="85" t="s">
        <v>1043</v>
      </c>
      <c r="D405" s="86" t="s">
        <v>1043</v>
      </c>
      <c r="E405" s="85" t="s">
        <v>6133</v>
      </c>
      <c r="F405" s="86" t="s">
        <v>6133</v>
      </c>
      <c r="G405" s="85" t="s">
        <v>983</v>
      </c>
      <c r="H405" s="92"/>
    </row>
    <row r="406">
      <c r="A406" s="89">
        <v>7.290112346698E12</v>
      </c>
      <c r="B406" s="84" t="s">
        <v>1067</v>
      </c>
      <c r="C406" s="85" t="s">
        <v>1064</v>
      </c>
      <c r="D406" s="86" t="s">
        <v>1064</v>
      </c>
      <c r="E406" s="85" t="s">
        <v>6134</v>
      </c>
      <c r="F406" s="86" t="s">
        <v>6134</v>
      </c>
      <c r="G406" s="85" t="s">
        <v>983</v>
      </c>
      <c r="H406" s="92"/>
    </row>
    <row r="407">
      <c r="A407" s="89">
        <v>55336.0</v>
      </c>
      <c r="B407" s="84" t="s">
        <v>5030</v>
      </c>
      <c r="C407" s="85" t="s">
        <v>5033</v>
      </c>
      <c r="D407" s="86" t="s">
        <v>5033</v>
      </c>
      <c r="E407" s="85" t="s">
        <v>6135</v>
      </c>
      <c r="F407" s="86" t="s">
        <v>6135</v>
      </c>
      <c r="G407" s="85" t="s">
        <v>983</v>
      </c>
      <c r="H407" s="92"/>
    </row>
    <row r="408">
      <c r="A408" s="89">
        <v>55329.0</v>
      </c>
      <c r="B408" s="84" t="s">
        <v>5030</v>
      </c>
      <c r="C408" s="85" t="s">
        <v>5039</v>
      </c>
      <c r="D408" s="86" t="s">
        <v>5039</v>
      </c>
      <c r="E408" s="85" t="s">
        <v>6135</v>
      </c>
      <c r="F408" s="86" t="s">
        <v>6135</v>
      </c>
      <c r="G408" s="85" t="s">
        <v>983</v>
      </c>
      <c r="H408" s="92"/>
    </row>
    <row r="409">
      <c r="A409" s="89">
        <v>7.290107933643E12</v>
      </c>
      <c r="B409" s="84" t="s">
        <v>4299</v>
      </c>
      <c r="C409" s="85" t="s">
        <v>4302</v>
      </c>
      <c r="D409" s="86" t="s">
        <v>4302</v>
      </c>
      <c r="E409" s="85" t="s">
        <v>6136</v>
      </c>
      <c r="F409" s="86" t="s">
        <v>6136</v>
      </c>
      <c r="G409" s="85" t="s">
        <v>983</v>
      </c>
      <c r="H409" s="92"/>
    </row>
    <row r="410">
      <c r="A410" s="89">
        <v>7.29010793365E12</v>
      </c>
      <c r="B410" s="84" t="s">
        <v>4299</v>
      </c>
      <c r="C410" s="85" t="s">
        <v>4308</v>
      </c>
      <c r="D410" s="86" t="s">
        <v>4308</v>
      </c>
      <c r="E410" s="85" t="s">
        <v>6136</v>
      </c>
      <c r="F410" s="86" t="s">
        <v>6136</v>
      </c>
      <c r="G410" s="85" t="s">
        <v>983</v>
      </c>
      <c r="H410" s="92"/>
    </row>
    <row r="411">
      <c r="A411" s="89">
        <v>7.290014763272E12</v>
      </c>
      <c r="B411" s="84" t="s">
        <v>89</v>
      </c>
      <c r="C411" s="85" t="s">
        <v>100</v>
      </c>
      <c r="D411" s="86" t="s">
        <v>100</v>
      </c>
      <c r="E411" s="85" t="s">
        <v>6137</v>
      </c>
      <c r="F411" s="86" t="s">
        <v>6137</v>
      </c>
      <c r="G411" s="85" t="s">
        <v>983</v>
      </c>
      <c r="H411" s="92"/>
    </row>
    <row r="412">
      <c r="A412" s="89">
        <v>7.290014763289E12</v>
      </c>
      <c r="B412" s="84" t="s">
        <v>89</v>
      </c>
      <c r="C412" s="85" t="s">
        <v>92</v>
      </c>
      <c r="D412" s="86" t="s">
        <v>92</v>
      </c>
      <c r="E412" s="85" t="s">
        <v>6137</v>
      </c>
      <c r="F412" s="86" t="s">
        <v>6137</v>
      </c>
      <c r="G412" s="85" t="s">
        <v>983</v>
      </c>
      <c r="H412" s="92"/>
    </row>
    <row r="413">
      <c r="A413" s="89">
        <v>44248.0</v>
      </c>
      <c r="B413" s="84" t="s">
        <v>4005</v>
      </c>
      <c r="C413" s="85" t="s">
        <v>4008</v>
      </c>
      <c r="D413" s="86" t="s">
        <v>4008</v>
      </c>
      <c r="E413" s="85" t="s">
        <v>6138</v>
      </c>
      <c r="F413" s="86" t="s">
        <v>6138</v>
      </c>
      <c r="G413" s="85" t="s">
        <v>983</v>
      </c>
      <c r="H413" s="92"/>
    </row>
    <row r="414">
      <c r="A414" s="89">
        <v>7.2963104E7</v>
      </c>
      <c r="B414" s="84" t="s">
        <v>548</v>
      </c>
      <c r="C414" s="85" t="s">
        <v>551</v>
      </c>
      <c r="D414" s="86" t="s">
        <v>551</v>
      </c>
      <c r="E414" s="85" t="s">
        <v>6139</v>
      </c>
      <c r="F414" s="86" t="s">
        <v>6139</v>
      </c>
      <c r="G414" s="85" t="s">
        <v>983</v>
      </c>
      <c r="H414" s="92"/>
    </row>
    <row r="415">
      <c r="A415" s="89">
        <v>43814.0</v>
      </c>
      <c r="B415" s="84" t="s">
        <v>1787</v>
      </c>
      <c r="C415" s="85" t="s">
        <v>1782</v>
      </c>
      <c r="D415" s="86" t="s">
        <v>1782</v>
      </c>
      <c r="E415" s="85" t="s">
        <v>6140</v>
      </c>
      <c r="F415" s="86" t="s">
        <v>6140</v>
      </c>
      <c r="G415" s="85" t="s">
        <v>983</v>
      </c>
      <c r="H415" s="92"/>
    </row>
    <row r="416">
      <c r="A416" s="89">
        <v>4125417.0</v>
      </c>
      <c r="B416" s="84" t="s">
        <v>1656</v>
      </c>
      <c r="C416" s="85" t="s">
        <v>1659</v>
      </c>
      <c r="D416" s="86" t="s">
        <v>1659</v>
      </c>
      <c r="E416" s="85" t="s">
        <v>6141</v>
      </c>
      <c r="F416" s="86" t="s">
        <v>6141</v>
      </c>
      <c r="G416" s="85" t="s">
        <v>983</v>
      </c>
      <c r="H416" s="92"/>
    </row>
    <row r="417">
      <c r="A417" s="89">
        <v>4125455.0</v>
      </c>
      <c r="B417" s="84" t="s">
        <v>971</v>
      </c>
      <c r="C417" s="85" t="s">
        <v>974</v>
      </c>
      <c r="D417" s="86" t="s">
        <v>974</v>
      </c>
      <c r="E417" s="85" t="s">
        <v>6142</v>
      </c>
      <c r="F417" s="86" t="s">
        <v>6142</v>
      </c>
      <c r="G417" s="85" t="s">
        <v>983</v>
      </c>
      <c r="H417" s="92"/>
    </row>
    <row r="418">
      <c r="A418" s="89">
        <v>41858.0</v>
      </c>
      <c r="B418" s="84" t="s">
        <v>1329</v>
      </c>
      <c r="C418" s="85" t="s">
        <v>1332</v>
      </c>
      <c r="D418" s="86" t="s">
        <v>1332</v>
      </c>
      <c r="E418" s="85" t="s">
        <v>6143</v>
      </c>
      <c r="F418" s="86" t="s">
        <v>6143</v>
      </c>
      <c r="G418" s="85" t="s">
        <v>983</v>
      </c>
      <c r="H418" s="92"/>
    </row>
    <row r="419">
      <c r="A419" s="89">
        <v>2824640.0</v>
      </c>
      <c r="B419" s="84" t="s">
        <v>4283</v>
      </c>
      <c r="C419" s="85" t="s">
        <v>4278</v>
      </c>
      <c r="D419" s="86" t="s">
        <v>4278</v>
      </c>
      <c r="E419" s="85" t="s">
        <v>6144</v>
      </c>
      <c r="F419" s="86" t="s">
        <v>6144</v>
      </c>
      <c r="G419" s="85" t="s">
        <v>983</v>
      </c>
      <c r="H419" s="92"/>
    </row>
    <row r="420">
      <c r="A420" s="89">
        <v>48185.0</v>
      </c>
      <c r="B420" s="84" t="s">
        <v>4880</v>
      </c>
      <c r="C420" s="85" t="s">
        <v>4883</v>
      </c>
      <c r="D420" s="86" t="s">
        <v>4883</v>
      </c>
      <c r="E420" s="85" t="s">
        <v>6145</v>
      </c>
      <c r="F420" s="86" t="s">
        <v>6145</v>
      </c>
      <c r="G420" s="85" t="s">
        <v>983</v>
      </c>
      <c r="H420" s="92"/>
    </row>
    <row r="421">
      <c r="A421" s="89">
        <v>7.290011194246E12</v>
      </c>
      <c r="B421" s="84" t="s">
        <v>937</v>
      </c>
      <c r="C421" s="85" t="s">
        <v>932</v>
      </c>
      <c r="D421" s="86" t="s">
        <v>932</v>
      </c>
      <c r="E421" s="85" t="s">
        <v>6146</v>
      </c>
      <c r="F421" s="86" t="s">
        <v>6146</v>
      </c>
      <c r="G421" s="85" t="s">
        <v>983</v>
      </c>
      <c r="H421" s="92"/>
    </row>
    <row r="422">
      <c r="A422" s="89">
        <v>4127329.0</v>
      </c>
      <c r="B422" s="84" t="s">
        <v>946</v>
      </c>
      <c r="C422" s="85" t="s">
        <v>943</v>
      </c>
      <c r="D422" s="86" t="s">
        <v>943</v>
      </c>
      <c r="E422" s="85" t="s">
        <v>6147</v>
      </c>
      <c r="F422" s="86" t="s">
        <v>6147</v>
      </c>
      <c r="G422" s="85" t="s">
        <v>983</v>
      </c>
      <c r="H422" s="92"/>
    </row>
    <row r="423">
      <c r="A423" s="89">
        <v>4129101.0</v>
      </c>
      <c r="B423" s="84" t="s">
        <v>2969</v>
      </c>
      <c r="C423" s="85" t="s">
        <v>2986</v>
      </c>
      <c r="D423" s="86" t="s">
        <v>2986</v>
      </c>
      <c r="E423" s="85" t="s">
        <v>6148</v>
      </c>
      <c r="F423" s="86" t="s">
        <v>6148</v>
      </c>
      <c r="G423" s="85" t="s">
        <v>983</v>
      </c>
      <c r="H423" s="92"/>
    </row>
    <row r="424">
      <c r="A424" s="89">
        <v>4129118.0</v>
      </c>
      <c r="B424" s="84" t="s">
        <v>2969</v>
      </c>
      <c r="C424" s="85" t="s">
        <v>2972</v>
      </c>
      <c r="D424" s="86" t="s">
        <v>2972</v>
      </c>
      <c r="E424" s="85" t="s">
        <v>6148</v>
      </c>
      <c r="F424" s="86" t="s">
        <v>6148</v>
      </c>
      <c r="G424" s="85" t="s">
        <v>983</v>
      </c>
      <c r="H424" s="92"/>
    </row>
    <row r="425">
      <c r="A425" s="89">
        <v>4129156.0</v>
      </c>
      <c r="B425" s="84" t="s">
        <v>2969</v>
      </c>
      <c r="C425" s="85" t="s">
        <v>2980</v>
      </c>
      <c r="D425" s="86" t="s">
        <v>2980</v>
      </c>
      <c r="E425" s="85" t="s">
        <v>6148</v>
      </c>
      <c r="F425" s="86" t="s">
        <v>6148</v>
      </c>
      <c r="G425" s="85" t="s">
        <v>983</v>
      </c>
      <c r="H425" s="92"/>
    </row>
    <row r="426">
      <c r="A426" s="89">
        <v>5839108.0</v>
      </c>
      <c r="B426" s="84" t="s">
        <v>4544</v>
      </c>
      <c r="C426" s="85" t="s">
        <v>4548</v>
      </c>
      <c r="D426" s="86" t="s">
        <v>4548</v>
      </c>
      <c r="E426" s="85" t="s">
        <v>6149</v>
      </c>
      <c r="F426" s="86" t="s">
        <v>6149</v>
      </c>
      <c r="G426" s="85" t="s">
        <v>983</v>
      </c>
      <c r="H426" s="92"/>
    </row>
    <row r="427">
      <c r="A427" s="89">
        <v>4584351.0</v>
      </c>
      <c r="B427" s="84" t="s">
        <v>4544</v>
      </c>
      <c r="C427" s="85" t="s">
        <v>4539</v>
      </c>
      <c r="D427" s="86" t="s">
        <v>4539</v>
      </c>
      <c r="E427" s="85" t="s">
        <v>6149</v>
      </c>
      <c r="F427" s="86" t="s">
        <v>6149</v>
      </c>
      <c r="G427" s="85" t="s">
        <v>983</v>
      </c>
      <c r="H427" s="92"/>
    </row>
    <row r="428">
      <c r="A428" s="89">
        <v>4120573.0</v>
      </c>
      <c r="B428" s="84" t="s">
        <v>3466</v>
      </c>
      <c r="C428" s="85" t="s">
        <v>3484</v>
      </c>
      <c r="D428" s="86" t="s">
        <v>3484</v>
      </c>
      <c r="E428" s="85" t="s">
        <v>6150</v>
      </c>
      <c r="F428" s="86" t="s">
        <v>6150</v>
      </c>
      <c r="G428" s="85" t="s">
        <v>983</v>
      </c>
      <c r="H428" s="92"/>
    </row>
    <row r="429">
      <c r="A429" s="89">
        <v>4120566.0</v>
      </c>
      <c r="B429" s="84" t="s">
        <v>3466</v>
      </c>
      <c r="C429" s="85" t="s">
        <v>3469</v>
      </c>
      <c r="D429" s="86" t="s">
        <v>3469</v>
      </c>
      <c r="E429" s="85" t="s">
        <v>6150</v>
      </c>
      <c r="F429" s="86" t="s">
        <v>6150</v>
      </c>
      <c r="G429" s="85" t="s">
        <v>983</v>
      </c>
      <c r="H429" s="92"/>
    </row>
    <row r="430">
      <c r="A430" s="89">
        <v>4120634.0</v>
      </c>
      <c r="B430" s="84" t="s">
        <v>3466</v>
      </c>
      <c r="C430" s="85" t="s">
        <v>3490</v>
      </c>
      <c r="D430" s="86" t="s">
        <v>3490</v>
      </c>
      <c r="E430" s="85" t="s">
        <v>6150</v>
      </c>
      <c r="F430" s="86" t="s">
        <v>6150</v>
      </c>
      <c r="G430" s="85" t="s">
        <v>983</v>
      </c>
      <c r="H430" s="92"/>
    </row>
    <row r="431">
      <c r="A431" s="89">
        <v>48437.0</v>
      </c>
      <c r="B431" s="84" t="s">
        <v>3466</v>
      </c>
      <c r="C431" s="85" t="s">
        <v>3502</v>
      </c>
      <c r="D431" s="86" t="s">
        <v>3502</v>
      </c>
      <c r="E431" s="85" t="s">
        <v>6150</v>
      </c>
      <c r="F431" s="86" t="s">
        <v>6150</v>
      </c>
      <c r="G431" s="85" t="s">
        <v>983</v>
      </c>
      <c r="H431" s="92"/>
    </row>
    <row r="432">
      <c r="A432" s="89">
        <v>4137809.0</v>
      </c>
      <c r="B432" s="84" t="s">
        <v>3466</v>
      </c>
      <c r="C432" s="85" t="s">
        <v>3496</v>
      </c>
      <c r="D432" s="86" t="s">
        <v>3496</v>
      </c>
      <c r="E432" s="85" t="s">
        <v>6150</v>
      </c>
      <c r="F432" s="86" t="s">
        <v>6150</v>
      </c>
      <c r="G432" s="85" t="s">
        <v>983</v>
      </c>
      <c r="H432" s="92"/>
    </row>
    <row r="433">
      <c r="A433" s="89">
        <v>51710.0</v>
      </c>
      <c r="B433" s="84" t="s">
        <v>3466</v>
      </c>
      <c r="C433" s="85" t="s">
        <v>3477</v>
      </c>
      <c r="D433" s="86" t="s">
        <v>3477</v>
      </c>
      <c r="E433" s="85" t="s">
        <v>6150</v>
      </c>
      <c r="F433" s="86" t="s">
        <v>6150</v>
      </c>
      <c r="G433" s="85" t="s">
        <v>983</v>
      </c>
      <c r="H433" s="92"/>
    </row>
    <row r="434">
      <c r="A434" s="89">
        <v>7.290106664067E12</v>
      </c>
      <c r="B434" s="84" t="s">
        <v>2315</v>
      </c>
      <c r="C434" s="85" t="s">
        <v>2310</v>
      </c>
      <c r="D434" s="86" t="s">
        <v>2310</v>
      </c>
      <c r="E434" s="85" t="s">
        <v>6151</v>
      </c>
      <c r="F434" s="86" t="s">
        <v>6151</v>
      </c>
      <c r="G434" s="85" t="s">
        <v>983</v>
      </c>
      <c r="H434" s="92"/>
    </row>
    <row r="435">
      <c r="A435" s="89">
        <v>45917.0</v>
      </c>
      <c r="B435" s="84" t="s">
        <v>1511</v>
      </c>
      <c r="C435" s="85" t="s">
        <v>1506</v>
      </c>
      <c r="D435" s="86" t="s">
        <v>1506</v>
      </c>
      <c r="E435" s="85" t="s">
        <v>6152</v>
      </c>
      <c r="F435" s="86" t="s">
        <v>6152</v>
      </c>
      <c r="G435" s="85" t="s">
        <v>983</v>
      </c>
      <c r="H435" s="92"/>
    </row>
    <row r="436">
      <c r="A436" s="89">
        <v>42442.0</v>
      </c>
      <c r="B436" s="84" t="s">
        <v>2796</v>
      </c>
      <c r="C436" s="85" t="s">
        <v>2799</v>
      </c>
      <c r="D436" s="86" t="s">
        <v>2799</v>
      </c>
      <c r="E436" s="85" t="s">
        <v>6153</v>
      </c>
      <c r="F436" s="86" t="s">
        <v>6153</v>
      </c>
      <c r="G436" s="85" t="s">
        <v>983</v>
      </c>
      <c r="H436" s="92"/>
    </row>
    <row r="437">
      <c r="A437" s="89">
        <v>42435.0</v>
      </c>
      <c r="B437" s="84" t="s">
        <v>2781</v>
      </c>
      <c r="C437" s="85" t="s">
        <v>2784</v>
      </c>
      <c r="D437" s="86" t="s">
        <v>2784</v>
      </c>
      <c r="E437" s="85" t="s">
        <v>6154</v>
      </c>
      <c r="F437" s="86" t="s">
        <v>6154</v>
      </c>
      <c r="G437" s="85" t="s">
        <v>983</v>
      </c>
      <c r="H437" s="92"/>
    </row>
    <row r="438">
      <c r="A438" s="89">
        <v>4132231.0</v>
      </c>
      <c r="B438" s="84" t="s">
        <v>903</v>
      </c>
      <c r="C438" s="85" t="s">
        <v>906</v>
      </c>
      <c r="D438" s="86" t="s">
        <v>906</v>
      </c>
      <c r="E438" s="85" t="s">
        <v>6155</v>
      </c>
      <c r="F438" s="86" t="s">
        <v>6155</v>
      </c>
      <c r="G438" s="85" t="s">
        <v>983</v>
      </c>
      <c r="H438" s="92"/>
    </row>
    <row r="439">
      <c r="A439" s="89">
        <v>7.29010793208E12</v>
      </c>
      <c r="B439" s="84" t="s">
        <v>2803</v>
      </c>
      <c r="C439" s="85" t="s">
        <v>2806</v>
      </c>
      <c r="D439" s="86" t="s">
        <v>2806</v>
      </c>
      <c r="E439" s="85" t="s">
        <v>6156</v>
      </c>
      <c r="F439" s="86" t="s">
        <v>6156</v>
      </c>
      <c r="G439" s="85" t="s">
        <v>983</v>
      </c>
      <c r="H439" s="92"/>
    </row>
    <row r="440">
      <c r="A440" s="89">
        <v>7.290107932134E12</v>
      </c>
      <c r="B440" s="84" t="s">
        <v>2789</v>
      </c>
      <c r="C440" s="85" t="s">
        <v>2792</v>
      </c>
      <c r="D440" s="86" t="s">
        <v>2792</v>
      </c>
      <c r="E440" s="85" t="s">
        <v>6157</v>
      </c>
      <c r="F440" s="86" t="s">
        <v>6157</v>
      </c>
      <c r="G440" s="85" t="s">
        <v>983</v>
      </c>
      <c r="H440" s="92"/>
    </row>
    <row r="441">
      <c r="A441" s="89">
        <v>7.290107933315E12</v>
      </c>
      <c r="B441" s="84" t="s">
        <v>2774</v>
      </c>
      <c r="C441" s="85" t="s">
        <v>2777</v>
      </c>
      <c r="D441" s="86" t="s">
        <v>2777</v>
      </c>
      <c r="E441" s="85" t="s">
        <v>6158</v>
      </c>
      <c r="F441" s="86" t="s">
        <v>6158</v>
      </c>
      <c r="G441" s="85" t="s">
        <v>983</v>
      </c>
      <c r="H441" s="92"/>
    </row>
    <row r="442">
      <c r="A442" s="89">
        <v>4125578.0</v>
      </c>
      <c r="B442" s="84" t="s">
        <v>67</v>
      </c>
      <c r="C442" s="85" t="s">
        <v>70</v>
      </c>
      <c r="D442" s="86" t="s">
        <v>70</v>
      </c>
      <c r="E442" s="85" t="s">
        <v>6159</v>
      </c>
      <c r="F442" s="86" t="s">
        <v>6159</v>
      </c>
      <c r="G442" s="85" t="s">
        <v>983</v>
      </c>
      <c r="H442" s="92"/>
    </row>
    <row r="443">
      <c r="A443" s="89">
        <v>7.290110325619E12</v>
      </c>
      <c r="B443" s="84" t="s">
        <v>67</v>
      </c>
      <c r="C443" s="85" t="s">
        <v>78</v>
      </c>
      <c r="D443" s="86" t="s">
        <v>78</v>
      </c>
      <c r="E443" s="85" t="s">
        <v>6159</v>
      </c>
      <c r="F443" s="86" t="s">
        <v>6159</v>
      </c>
      <c r="G443" s="85" t="s">
        <v>983</v>
      </c>
      <c r="H443" s="92"/>
    </row>
    <row r="444">
      <c r="A444" s="89">
        <v>4125585.0</v>
      </c>
      <c r="B444" s="84" t="s">
        <v>67</v>
      </c>
      <c r="C444" s="85" t="s">
        <v>84</v>
      </c>
      <c r="D444" s="86" t="s">
        <v>84</v>
      </c>
      <c r="E444" s="85" t="s">
        <v>6159</v>
      </c>
      <c r="F444" s="86" t="s">
        <v>6159</v>
      </c>
      <c r="G444" s="85" t="s">
        <v>983</v>
      </c>
      <c r="H444" s="92"/>
    </row>
    <row r="445">
      <c r="A445" s="89">
        <v>7.290014760141E12</v>
      </c>
      <c r="B445" s="84" t="s">
        <v>58</v>
      </c>
      <c r="C445" s="85" t="s">
        <v>61</v>
      </c>
      <c r="D445" s="86" t="s">
        <v>61</v>
      </c>
      <c r="E445" s="85" t="s">
        <v>6160</v>
      </c>
      <c r="F445" s="86" t="s">
        <v>6160</v>
      </c>
      <c r="G445" s="85" t="s">
        <v>983</v>
      </c>
      <c r="H445" s="92"/>
    </row>
    <row r="446">
      <c r="A446" s="89">
        <v>3029181.0</v>
      </c>
      <c r="B446" s="84" t="s">
        <v>5043</v>
      </c>
      <c r="C446" s="85" t="s">
        <v>5058</v>
      </c>
      <c r="D446" s="86" t="s">
        <v>5058</v>
      </c>
      <c r="E446" s="85" t="s">
        <v>6161</v>
      </c>
      <c r="F446" s="86" t="s">
        <v>6161</v>
      </c>
      <c r="G446" s="85" t="s">
        <v>983</v>
      </c>
      <c r="H446" s="92"/>
    </row>
    <row r="447">
      <c r="A447" s="89">
        <v>3029907.0</v>
      </c>
      <c r="B447" s="84" t="s">
        <v>5043</v>
      </c>
      <c r="C447" s="85" t="s">
        <v>5046</v>
      </c>
      <c r="D447" s="86" t="s">
        <v>5046</v>
      </c>
      <c r="E447" s="85" t="s">
        <v>6161</v>
      </c>
      <c r="F447" s="86" t="s">
        <v>6161</v>
      </c>
      <c r="G447" s="85" t="s">
        <v>983</v>
      </c>
      <c r="H447" s="92"/>
    </row>
    <row r="448">
      <c r="A448" s="89">
        <v>3029532.0</v>
      </c>
      <c r="B448" s="84" t="s">
        <v>5043</v>
      </c>
      <c r="C448" s="85" t="s">
        <v>5052</v>
      </c>
      <c r="D448" s="86" t="s">
        <v>5052</v>
      </c>
      <c r="E448" s="85" t="s">
        <v>6161</v>
      </c>
      <c r="F448" s="86" t="s">
        <v>6161</v>
      </c>
      <c r="G448" s="85" t="s">
        <v>983</v>
      </c>
      <c r="H448" s="92"/>
    </row>
    <row r="449">
      <c r="A449" s="89">
        <v>4131531.0</v>
      </c>
      <c r="B449" s="84" t="s">
        <v>705</v>
      </c>
      <c r="C449" s="85" t="s">
        <v>708</v>
      </c>
      <c r="D449" s="86" t="s">
        <v>708</v>
      </c>
      <c r="E449" s="85" t="s">
        <v>6162</v>
      </c>
      <c r="F449" s="86" t="s">
        <v>6162</v>
      </c>
      <c r="G449" s="85" t="s">
        <v>983</v>
      </c>
      <c r="H449" s="92"/>
    </row>
    <row r="450">
      <c r="A450" s="89">
        <v>42855.0</v>
      </c>
      <c r="B450" s="84" t="s">
        <v>696</v>
      </c>
      <c r="C450" s="85" t="s">
        <v>699</v>
      </c>
      <c r="D450" s="86" t="s">
        <v>699</v>
      </c>
      <c r="E450" s="85" t="s">
        <v>6163</v>
      </c>
      <c r="F450" s="86" t="s">
        <v>6163</v>
      </c>
      <c r="G450" s="85" t="s">
        <v>983</v>
      </c>
      <c r="H450" s="92"/>
    </row>
    <row r="451">
      <c r="A451" s="89">
        <v>7.290104061219E12</v>
      </c>
      <c r="B451" s="84" t="s">
        <v>3959</v>
      </c>
      <c r="C451" s="85" t="s">
        <v>3988</v>
      </c>
      <c r="D451" s="86" t="s">
        <v>3988</v>
      </c>
      <c r="E451" s="85" t="s">
        <v>6164</v>
      </c>
      <c r="F451" s="86" t="s">
        <v>6164</v>
      </c>
      <c r="G451" s="85" t="s">
        <v>211</v>
      </c>
      <c r="H451" s="92"/>
    </row>
    <row r="452">
      <c r="A452" s="89">
        <v>7.290106520066E12</v>
      </c>
      <c r="B452" s="84" t="s">
        <v>3959</v>
      </c>
      <c r="C452" s="85" t="s">
        <v>3994</v>
      </c>
      <c r="D452" s="86" t="s">
        <v>3994</v>
      </c>
      <c r="E452" s="85" t="s">
        <v>6164</v>
      </c>
      <c r="F452" s="86" t="s">
        <v>6164</v>
      </c>
      <c r="G452" s="85" t="s">
        <v>211</v>
      </c>
      <c r="H452" s="92"/>
    </row>
    <row r="453">
      <c r="A453" s="89">
        <v>7.290107944366E12</v>
      </c>
      <c r="B453" s="84" t="s">
        <v>3959</v>
      </c>
      <c r="C453" s="85" t="s">
        <v>4000</v>
      </c>
      <c r="D453" s="86" t="s">
        <v>4000</v>
      </c>
      <c r="E453" s="85" t="s">
        <v>6164</v>
      </c>
      <c r="F453" s="86" t="s">
        <v>6164</v>
      </c>
      <c r="G453" s="85" t="s">
        <v>211</v>
      </c>
      <c r="H453" s="92"/>
    </row>
    <row r="454">
      <c r="A454" s="89">
        <v>7.290112331946E12</v>
      </c>
      <c r="B454" s="84" t="s">
        <v>3959</v>
      </c>
      <c r="C454" s="85" t="s">
        <v>3982</v>
      </c>
      <c r="D454" s="86" t="s">
        <v>3982</v>
      </c>
      <c r="E454" s="85" t="s">
        <v>6164</v>
      </c>
      <c r="F454" s="86" t="s">
        <v>6164</v>
      </c>
      <c r="G454" s="85" t="s">
        <v>211</v>
      </c>
      <c r="H454" s="92"/>
    </row>
    <row r="455">
      <c r="A455" s="89">
        <v>7.290107958523E12</v>
      </c>
      <c r="B455" s="84" t="s">
        <v>3959</v>
      </c>
      <c r="C455" s="85" t="s">
        <v>3956</v>
      </c>
      <c r="D455" s="86" t="s">
        <v>3956</v>
      </c>
      <c r="E455" s="85" t="s">
        <v>6164</v>
      </c>
      <c r="F455" s="86" t="s">
        <v>6164</v>
      </c>
      <c r="G455" s="85" t="s">
        <v>211</v>
      </c>
      <c r="H455" s="92"/>
    </row>
    <row r="456">
      <c r="A456" s="89">
        <v>7.290106669406E12</v>
      </c>
      <c r="B456" s="84" t="s">
        <v>3959</v>
      </c>
      <c r="C456" s="85" t="s">
        <v>3963</v>
      </c>
      <c r="D456" s="86" t="s">
        <v>3963</v>
      </c>
      <c r="E456" s="85" t="s">
        <v>6164</v>
      </c>
      <c r="F456" s="86" t="s">
        <v>6164</v>
      </c>
      <c r="G456" s="85" t="s">
        <v>211</v>
      </c>
      <c r="H456" s="92"/>
    </row>
    <row r="457">
      <c r="A457" s="89">
        <v>7.290112332707E12</v>
      </c>
      <c r="B457" s="84" t="s">
        <v>3959</v>
      </c>
      <c r="C457" s="85" t="s">
        <v>3976</v>
      </c>
      <c r="D457" s="86" t="s">
        <v>3976</v>
      </c>
      <c r="E457" s="85" t="s">
        <v>6164</v>
      </c>
      <c r="F457" s="86" t="s">
        <v>6164</v>
      </c>
      <c r="G457" s="85" t="s">
        <v>211</v>
      </c>
      <c r="H457" s="92"/>
    </row>
    <row r="458">
      <c r="A458" s="89">
        <v>8.000380153466E12</v>
      </c>
      <c r="B458" s="84" t="s">
        <v>2360</v>
      </c>
      <c r="C458" s="85" t="s">
        <v>2371</v>
      </c>
      <c r="D458" s="86" t="s">
        <v>2371</v>
      </c>
      <c r="E458" s="85" t="s">
        <v>6165</v>
      </c>
      <c r="F458" s="86" t="s">
        <v>6165</v>
      </c>
      <c r="G458" s="85" t="s">
        <v>211</v>
      </c>
      <c r="H458" s="92"/>
    </row>
    <row r="459">
      <c r="A459" s="89">
        <v>8.000380153442E12</v>
      </c>
      <c r="B459" s="84" t="s">
        <v>2360</v>
      </c>
      <c r="C459" s="85" t="s">
        <v>2452</v>
      </c>
      <c r="D459" s="86" t="s">
        <v>2452</v>
      </c>
      <c r="E459" s="85" t="s">
        <v>6165</v>
      </c>
      <c r="F459" s="86" t="s">
        <v>6165</v>
      </c>
      <c r="G459" s="85" t="s">
        <v>211</v>
      </c>
      <c r="H459" s="92"/>
    </row>
    <row r="460">
      <c r="A460" s="89">
        <v>8.000380003723E12</v>
      </c>
      <c r="B460" s="84" t="s">
        <v>2360</v>
      </c>
      <c r="C460" s="85" t="s">
        <v>2439</v>
      </c>
      <c r="D460" s="86" t="s">
        <v>2439</v>
      </c>
      <c r="E460" s="85" t="s">
        <v>6165</v>
      </c>
      <c r="F460" s="86" t="s">
        <v>6165</v>
      </c>
      <c r="G460" s="85" t="s">
        <v>211</v>
      </c>
      <c r="H460" s="92"/>
    </row>
    <row r="461">
      <c r="A461" s="89">
        <v>8.000380003761E12</v>
      </c>
      <c r="B461" s="84" t="s">
        <v>2360</v>
      </c>
      <c r="C461" s="85" t="s">
        <v>2396</v>
      </c>
      <c r="D461" s="86" t="s">
        <v>2396</v>
      </c>
      <c r="E461" s="85" t="s">
        <v>6165</v>
      </c>
      <c r="F461" s="86" t="s">
        <v>6165</v>
      </c>
      <c r="G461" s="85" t="s">
        <v>211</v>
      </c>
      <c r="H461" s="92"/>
    </row>
    <row r="462">
      <c r="A462" s="89">
        <v>8.0003801873E12</v>
      </c>
      <c r="B462" s="84" t="s">
        <v>2360</v>
      </c>
      <c r="C462" s="85" t="s">
        <v>2384</v>
      </c>
      <c r="D462" s="86" t="s">
        <v>2384</v>
      </c>
      <c r="E462" s="85" t="s">
        <v>6165</v>
      </c>
      <c r="F462" s="86" t="s">
        <v>6165</v>
      </c>
      <c r="G462" s="85" t="s">
        <v>211</v>
      </c>
      <c r="H462" s="92"/>
    </row>
    <row r="463">
      <c r="A463" s="89">
        <v>8.000380187119E12</v>
      </c>
      <c r="B463" s="84" t="s">
        <v>2360</v>
      </c>
      <c r="C463" s="85" t="s">
        <v>2402</v>
      </c>
      <c r="D463" s="86" t="s">
        <v>2402</v>
      </c>
      <c r="E463" s="85" t="s">
        <v>6165</v>
      </c>
      <c r="F463" s="86" t="s">
        <v>6165</v>
      </c>
      <c r="G463" s="85" t="s">
        <v>211</v>
      </c>
      <c r="H463" s="92"/>
    </row>
    <row r="464">
      <c r="A464" s="89">
        <v>8.000380187249E12</v>
      </c>
      <c r="B464" s="84" t="s">
        <v>2360</v>
      </c>
      <c r="C464" s="85" t="s">
        <v>2363</v>
      </c>
      <c r="D464" s="86" t="s">
        <v>2363</v>
      </c>
      <c r="E464" s="85" t="s">
        <v>6165</v>
      </c>
      <c r="F464" s="86" t="s">
        <v>6165</v>
      </c>
      <c r="G464" s="85" t="s">
        <v>211</v>
      </c>
      <c r="H464" s="92"/>
    </row>
    <row r="465">
      <c r="A465" s="89">
        <v>7.622210829085E12</v>
      </c>
      <c r="B465" s="84" t="s">
        <v>3170</v>
      </c>
      <c r="C465" s="85" t="s">
        <v>3228</v>
      </c>
      <c r="D465" s="86" t="s">
        <v>3228</v>
      </c>
      <c r="E465" s="85" t="s">
        <v>6166</v>
      </c>
      <c r="F465" s="86" t="s">
        <v>6166</v>
      </c>
      <c r="G465" s="85" t="s">
        <v>211</v>
      </c>
      <c r="H465" s="92"/>
    </row>
    <row r="466">
      <c r="A466" s="89">
        <v>7.622210829108E12</v>
      </c>
      <c r="B466" s="84" t="s">
        <v>3170</v>
      </c>
      <c r="C466" s="85" t="s">
        <v>3216</v>
      </c>
      <c r="D466" s="86" t="s">
        <v>3216</v>
      </c>
      <c r="E466" s="85" t="s">
        <v>6166</v>
      </c>
      <c r="F466" s="86" t="s">
        <v>6166</v>
      </c>
      <c r="G466" s="85" t="s">
        <v>211</v>
      </c>
      <c r="H466" s="92"/>
    </row>
    <row r="467">
      <c r="A467" s="89">
        <v>7.622210874351E12</v>
      </c>
      <c r="B467" s="84" t="s">
        <v>3170</v>
      </c>
      <c r="C467" s="85" t="s">
        <v>3210</v>
      </c>
      <c r="D467" s="86" t="s">
        <v>3210</v>
      </c>
      <c r="E467" s="85" t="s">
        <v>6166</v>
      </c>
      <c r="F467" s="86" t="s">
        <v>6166</v>
      </c>
      <c r="G467" s="85" t="s">
        <v>211</v>
      </c>
      <c r="H467" s="92"/>
    </row>
    <row r="468">
      <c r="A468" s="89">
        <v>7.622300761363E12</v>
      </c>
      <c r="B468" s="84" t="s">
        <v>3170</v>
      </c>
      <c r="C468" s="85" t="s">
        <v>3186</v>
      </c>
      <c r="D468" s="86" t="s">
        <v>3186</v>
      </c>
      <c r="E468" s="85" t="s">
        <v>6166</v>
      </c>
      <c r="F468" s="86" t="s">
        <v>6166</v>
      </c>
      <c r="G468" s="85" t="s">
        <v>211</v>
      </c>
      <c r="H468" s="92"/>
    </row>
    <row r="469">
      <c r="A469" s="89">
        <v>181103.0</v>
      </c>
      <c r="B469" s="84" t="s">
        <v>6167</v>
      </c>
      <c r="C469" s="85" t="s">
        <v>1184</v>
      </c>
      <c r="D469" s="86" t="s">
        <v>1184</v>
      </c>
      <c r="E469" s="85" t="s">
        <v>6168</v>
      </c>
      <c r="F469" s="86" t="s">
        <v>6168</v>
      </c>
      <c r="G469" s="85" t="s">
        <v>211</v>
      </c>
      <c r="H469" s="92"/>
    </row>
    <row r="470">
      <c r="A470" s="89">
        <v>5199622.0</v>
      </c>
      <c r="B470" s="84" t="s">
        <v>6167</v>
      </c>
      <c r="C470" s="85" t="s">
        <v>1178</v>
      </c>
      <c r="D470" s="86" t="s">
        <v>1178</v>
      </c>
      <c r="E470" s="85" t="s">
        <v>6168</v>
      </c>
      <c r="F470" s="86" t="s">
        <v>6168</v>
      </c>
      <c r="G470" s="85" t="s">
        <v>211</v>
      </c>
      <c r="H470" s="92"/>
    </row>
    <row r="471">
      <c r="A471" s="89">
        <v>7.290112346537E12</v>
      </c>
      <c r="B471" s="84" t="s">
        <v>4770</v>
      </c>
      <c r="C471" s="85" t="s">
        <v>4767</v>
      </c>
      <c r="D471" s="86" t="s">
        <v>4767</v>
      </c>
      <c r="E471" s="85" t="s">
        <v>6169</v>
      </c>
      <c r="F471" s="86" t="s">
        <v>6169</v>
      </c>
      <c r="G471" s="85" t="s">
        <v>211</v>
      </c>
      <c r="H471" s="92"/>
    </row>
    <row r="472">
      <c r="A472" s="89">
        <v>7.290112332691E12</v>
      </c>
      <c r="B472" s="84" t="s">
        <v>3407</v>
      </c>
      <c r="C472" s="85" t="s">
        <v>3404</v>
      </c>
      <c r="D472" s="86" t="s">
        <v>3404</v>
      </c>
      <c r="E472" s="85" t="s">
        <v>6170</v>
      </c>
      <c r="F472" s="86" t="s">
        <v>6170</v>
      </c>
      <c r="G472" s="85" t="s">
        <v>211</v>
      </c>
      <c r="H472" s="92"/>
    </row>
    <row r="473">
      <c r="A473" s="89">
        <v>77017.0</v>
      </c>
      <c r="B473" s="84" t="s">
        <v>6171</v>
      </c>
      <c r="C473" s="85" t="s">
        <v>3248</v>
      </c>
      <c r="D473" s="86" t="s">
        <v>3248</v>
      </c>
      <c r="E473" s="85" t="s">
        <v>6172</v>
      </c>
      <c r="F473" s="86" t="s">
        <v>6172</v>
      </c>
      <c r="G473" s="85" t="s">
        <v>211</v>
      </c>
      <c r="H473" s="92"/>
    </row>
    <row r="474">
      <c r="A474" s="89">
        <v>8.000380007219E12</v>
      </c>
      <c r="B474" s="84" t="s">
        <v>2360</v>
      </c>
      <c r="C474" s="85" t="s">
        <v>2427</v>
      </c>
      <c r="D474" s="86" t="s">
        <v>2427</v>
      </c>
      <c r="E474" s="85" t="s">
        <v>6165</v>
      </c>
      <c r="F474" s="86" t="s">
        <v>6165</v>
      </c>
      <c r="G474" s="85" t="s">
        <v>211</v>
      </c>
      <c r="H474" s="92"/>
    </row>
    <row r="475">
      <c r="A475" s="89">
        <v>8.000380007257E12</v>
      </c>
      <c r="B475" s="84" t="s">
        <v>2360</v>
      </c>
      <c r="C475" s="85" t="s">
        <v>2433</v>
      </c>
      <c r="D475" s="86" t="s">
        <v>2433</v>
      </c>
      <c r="E475" s="85" t="s">
        <v>6165</v>
      </c>
      <c r="F475" s="86" t="s">
        <v>6165</v>
      </c>
      <c r="G475" s="85" t="s">
        <v>211</v>
      </c>
      <c r="H475" s="92"/>
    </row>
    <row r="476">
      <c r="A476" s="89">
        <v>7.622210638021E12</v>
      </c>
      <c r="B476" s="84" t="s">
        <v>3170</v>
      </c>
      <c r="C476" s="85" t="s">
        <v>3174</v>
      </c>
      <c r="D476" s="86" t="s">
        <v>3174</v>
      </c>
      <c r="E476" s="85" t="s">
        <v>6166</v>
      </c>
      <c r="F476" s="86" t="s">
        <v>6166</v>
      </c>
      <c r="G476" s="85" t="s">
        <v>211</v>
      </c>
      <c r="H476" s="92"/>
    </row>
    <row r="477">
      <c r="A477" s="89">
        <v>7.622210637994E12</v>
      </c>
      <c r="B477" s="84" t="s">
        <v>3170</v>
      </c>
      <c r="C477" s="85" t="s">
        <v>3180</v>
      </c>
      <c r="D477" s="86" t="s">
        <v>3180</v>
      </c>
      <c r="E477" s="85" t="s">
        <v>6166</v>
      </c>
      <c r="F477" s="86" t="s">
        <v>6166</v>
      </c>
      <c r="G477" s="85" t="s">
        <v>211</v>
      </c>
      <c r="H477" s="92"/>
    </row>
    <row r="478">
      <c r="A478" s="89">
        <v>174099.0</v>
      </c>
      <c r="B478" s="84" t="s">
        <v>189</v>
      </c>
      <c r="C478" s="85" t="s">
        <v>208</v>
      </c>
      <c r="D478" s="86" t="s">
        <v>208</v>
      </c>
      <c r="E478" s="85" t="s">
        <v>6173</v>
      </c>
      <c r="F478" s="86" t="s">
        <v>6173</v>
      </c>
      <c r="G478" s="85" t="s">
        <v>211</v>
      </c>
      <c r="H478" s="92"/>
    </row>
    <row r="479">
      <c r="A479" s="89">
        <v>7.290106656512E12</v>
      </c>
      <c r="B479" s="84" t="s">
        <v>189</v>
      </c>
      <c r="C479" s="85" t="s">
        <v>184</v>
      </c>
      <c r="D479" s="86" t="s">
        <v>184</v>
      </c>
      <c r="E479" s="85" t="s">
        <v>6173</v>
      </c>
      <c r="F479" s="86" t="s">
        <v>6173</v>
      </c>
      <c r="G479" s="85" t="s">
        <v>211</v>
      </c>
      <c r="H479" s="92"/>
    </row>
    <row r="480">
      <c r="A480" s="89">
        <v>8753883.0</v>
      </c>
      <c r="B480" s="84" t="s">
        <v>189</v>
      </c>
      <c r="C480" s="85" t="s">
        <v>215</v>
      </c>
      <c r="D480" s="86" t="s">
        <v>215</v>
      </c>
      <c r="E480" s="85" t="s">
        <v>6173</v>
      </c>
      <c r="F480" s="86" t="s">
        <v>6173</v>
      </c>
      <c r="G480" s="85" t="s">
        <v>211</v>
      </c>
      <c r="H480" s="92"/>
    </row>
    <row r="481">
      <c r="A481" s="89">
        <v>8.000380004911E12</v>
      </c>
      <c r="B481" s="84" t="s">
        <v>2360</v>
      </c>
      <c r="C481" s="85" t="s">
        <v>2408</v>
      </c>
      <c r="D481" s="86" t="s">
        <v>2408</v>
      </c>
      <c r="E481" s="85" t="s">
        <v>6165</v>
      </c>
      <c r="F481" s="86" t="s">
        <v>6165</v>
      </c>
      <c r="G481" s="85" t="s">
        <v>211</v>
      </c>
      <c r="H481" s="92"/>
    </row>
    <row r="482">
      <c r="A482" s="89">
        <v>8.000380004966E12</v>
      </c>
      <c r="B482" s="84" t="s">
        <v>2360</v>
      </c>
      <c r="C482" s="85" t="s">
        <v>2415</v>
      </c>
      <c r="D482" s="86" t="s">
        <v>2415</v>
      </c>
      <c r="E482" s="85" t="s">
        <v>6165</v>
      </c>
      <c r="F482" s="86" t="s">
        <v>6165</v>
      </c>
      <c r="G482" s="85" t="s">
        <v>211</v>
      </c>
      <c r="H482" s="87"/>
    </row>
    <row r="483">
      <c r="A483" s="89">
        <v>8.000380180745E12</v>
      </c>
      <c r="B483" s="84" t="s">
        <v>2360</v>
      </c>
      <c r="C483" s="85" t="s">
        <v>2421</v>
      </c>
      <c r="D483" s="86" t="s">
        <v>2421</v>
      </c>
      <c r="E483" s="85" t="s">
        <v>6165</v>
      </c>
      <c r="F483" s="86" t="s">
        <v>6165</v>
      </c>
      <c r="G483" s="85" t="s">
        <v>211</v>
      </c>
      <c r="H483" s="87"/>
    </row>
    <row r="484">
      <c r="A484" s="89">
        <v>8.000380004676E12</v>
      </c>
      <c r="B484" s="84" t="s">
        <v>2360</v>
      </c>
      <c r="C484" s="85" t="s">
        <v>2458</v>
      </c>
      <c r="D484" s="86" t="s">
        <v>2458</v>
      </c>
      <c r="E484" s="85" t="s">
        <v>6165</v>
      </c>
      <c r="F484" s="86" t="s">
        <v>6165</v>
      </c>
      <c r="G484" s="85" t="s">
        <v>211</v>
      </c>
      <c r="H484" s="87"/>
    </row>
    <row r="485">
      <c r="A485" s="89">
        <v>8.690526019154E12</v>
      </c>
      <c r="B485" s="84" t="s">
        <v>4822</v>
      </c>
      <c r="C485" s="85" t="s">
        <v>4851</v>
      </c>
      <c r="D485" s="86" t="s">
        <v>4851</v>
      </c>
      <c r="E485" s="85" t="s">
        <v>6174</v>
      </c>
      <c r="F485" s="86" t="s">
        <v>6174</v>
      </c>
      <c r="G485" s="85" t="s">
        <v>211</v>
      </c>
      <c r="H485" s="87"/>
    </row>
    <row r="486">
      <c r="A486" s="89">
        <v>8.690526019178E12</v>
      </c>
      <c r="B486" s="84" t="s">
        <v>4822</v>
      </c>
      <c r="C486" s="85" t="s">
        <v>4857</v>
      </c>
      <c r="D486" s="86" t="s">
        <v>4857</v>
      </c>
      <c r="E486" s="85" t="s">
        <v>6174</v>
      </c>
      <c r="F486" s="86" t="s">
        <v>6174</v>
      </c>
      <c r="G486" s="85" t="s">
        <v>211</v>
      </c>
      <c r="H486" s="87"/>
    </row>
    <row r="487">
      <c r="A487" s="89">
        <v>9.310072028743E12</v>
      </c>
      <c r="B487" s="84" t="s">
        <v>4738</v>
      </c>
      <c r="C487" s="85" t="s">
        <v>4742</v>
      </c>
      <c r="D487" s="86" t="s">
        <v>4742</v>
      </c>
      <c r="E487" s="85" t="s">
        <v>6175</v>
      </c>
      <c r="F487" s="86" t="s">
        <v>6175</v>
      </c>
      <c r="G487" s="85" t="s">
        <v>211</v>
      </c>
      <c r="H487" s="87"/>
    </row>
    <row r="488">
      <c r="A488" s="89">
        <v>9.31007202875E12</v>
      </c>
      <c r="B488" s="84" t="s">
        <v>4738</v>
      </c>
      <c r="C488" s="85" t="s">
        <v>4735</v>
      </c>
      <c r="D488" s="86" t="s">
        <v>4735</v>
      </c>
      <c r="E488" s="85" t="s">
        <v>6175</v>
      </c>
      <c r="F488" s="86" t="s">
        <v>6175</v>
      </c>
      <c r="G488" s="85" t="s">
        <v>211</v>
      </c>
      <c r="H488" s="87"/>
    </row>
    <row r="489">
      <c r="A489" s="89">
        <v>7.622010001858E12</v>
      </c>
      <c r="B489" s="84" t="s">
        <v>3170</v>
      </c>
      <c r="C489" s="85" t="s">
        <v>3222</v>
      </c>
      <c r="D489" s="86" t="s">
        <v>3222</v>
      </c>
      <c r="E489" s="85" t="s">
        <v>6166</v>
      </c>
      <c r="F489" s="86" t="s">
        <v>6166</v>
      </c>
      <c r="G489" s="85" t="s">
        <v>211</v>
      </c>
      <c r="H489" s="87"/>
    </row>
    <row r="490">
      <c r="A490" s="89">
        <v>7.622210835338E12</v>
      </c>
      <c r="B490" s="84" t="s">
        <v>3170</v>
      </c>
      <c r="C490" s="85" t="s">
        <v>3204</v>
      </c>
      <c r="D490" s="86" t="s">
        <v>3204</v>
      </c>
      <c r="E490" s="85" t="s">
        <v>6166</v>
      </c>
      <c r="F490" s="86" t="s">
        <v>6166</v>
      </c>
      <c r="G490" s="85" t="s">
        <v>211</v>
      </c>
      <c r="H490" s="87"/>
    </row>
    <row r="491">
      <c r="A491" s="89">
        <v>7.290107951104E12</v>
      </c>
      <c r="B491" s="84" t="s">
        <v>189</v>
      </c>
      <c r="C491" s="85" t="s">
        <v>202</v>
      </c>
      <c r="D491" s="86" t="s">
        <v>202</v>
      </c>
      <c r="E491" s="85" t="s">
        <v>6173</v>
      </c>
      <c r="F491" s="86" t="s">
        <v>6173</v>
      </c>
      <c r="G491" s="85" t="s">
        <v>211</v>
      </c>
      <c r="H491" s="87"/>
    </row>
    <row r="492">
      <c r="A492" s="89">
        <v>7.290107951111E12</v>
      </c>
      <c r="B492" s="84" t="s">
        <v>189</v>
      </c>
      <c r="C492" s="85" t="s">
        <v>225</v>
      </c>
      <c r="D492" s="86" t="s">
        <v>225</v>
      </c>
      <c r="E492" s="85" t="s">
        <v>6173</v>
      </c>
      <c r="F492" s="86" t="s">
        <v>6173</v>
      </c>
      <c r="G492" s="85" t="s">
        <v>211</v>
      </c>
      <c r="H492" s="87"/>
    </row>
    <row r="493">
      <c r="A493" s="89">
        <v>75143.0</v>
      </c>
      <c r="B493" s="84" t="s">
        <v>6176</v>
      </c>
      <c r="C493" s="85" t="s">
        <v>3260</v>
      </c>
      <c r="D493" s="86" t="s">
        <v>3260</v>
      </c>
      <c r="E493" s="85" t="s">
        <v>6177</v>
      </c>
      <c r="F493" s="86" t="s">
        <v>6177</v>
      </c>
      <c r="G493" s="85" t="s">
        <v>211</v>
      </c>
      <c r="H493" s="87"/>
    </row>
    <row r="494">
      <c r="A494" s="89">
        <v>4.6214731552E10</v>
      </c>
      <c r="B494" s="84" t="s">
        <v>2656</v>
      </c>
      <c r="C494" s="85" t="s">
        <v>2653</v>
      </c>
      <c r="D494" s="86" t="s">
        <v>2653</v>
      </c>
      <c r="E494" s="85" t="s">
        <v>6178</v>
      </c>
      <c r="F494" s="86" t="s">
        <v>6178</v>
      </c>
      <c r="G494" s="85" t="s">
        <v>211</v>
      </c>
      <c r="H494" s="87"/>
    </row>
    <row r="495">
      <c r="A495" s="89">
        <v>7.622300356767E12</v>
      </c>
      <c r="B495" s="84" t="s">
        <v>2698</v>
      </c>
      <c r="C495" s="85" t="s">
        <v>2707</v>
      </c>
      <c r="D495" s="86" t="s">
        <v>2707</v>
      </c>
      <c r="E495" s="85" t="s">
        <v>6179</v>
      </c>
      <c r="F495" s="86" t="s">
        <v>6179</v>
      </c>
      <c r="G495" s="85" t="s">
        <v>211</v>
      </c>
      <c r="H495" s="87"/>
    </row>
    <row r="496">
      <c r="A496" s="89">
        <v>7.622201809188E12</v>
      </c>
      <c r="B496" s="84" t="s">
        <v>2698</v>
      </c>
      <c r="C496" s="85" t="s">
        <v>2701</v>
      </c>
      <c r="D496" s="86" t="s">
        <v>2701</v>
      </c>
      <c r="E496" s="85" t="s">
        <v>6179</v>
      </c>
      <c r="F496" s="86" t="s">
        <v>6179</v>
      </c>
      <c r="G496" s="85" t="s">
        <v>211</v>
      </c>
      <c r="H496" s="87"/>
    </row>
    <row r="497">
      <c r="A497" s="89">
        <v>7.6222014019E12</v>
      </c>
      <c r="B497" s="84" t="s">
        <v>2698</v>
      </c>
      <c r="C497" s="85" t="s">
        <v>2738</v>
      </c>
      <c r="D497" s="86" t="s">
        <v>2738</v>
      </c>
      <c r="E497" s="85" t="s">
        <v>6179</v>
      </c>
      <c r="F497" s="86" t="s">
        <v>6179</v>
      </c>
      <c r="G497" s="85" t="s">
        <v>211</v>
      </c>
      <c r="H497" s="87"/>
    </row>
    <row r="498">
      <c r="A498" s="89">
        <v>7.290018194683E12</v>
      </c>
      <c r="B498" s="84" t="s">
        <v>4819</v>
      </c>
      <c r="C498" s="85" t="s">
        <v>4814</v>
      </c>
      <c r="D498" s="86" t="s">
        <v>4814</v>
      </c>
      <c r="E498" s="85" t="s">
        <v>6180</v>
      </c>
      <c r="F498" s="86" t="s">
        <v>6180</v>
      </c>
      <c r="G498" s="85" t="s">
        <v>211</v>
      </c>
      <c r="H498" s="87"/>
    </row>
    <row r="499">
      <c r="A499" s="89">
        <v>5.410126006339E12</v>
      </c>
      <c r="B499" s="84" t="s">
        <v>2470</v>
      </c>
      <c r="C499" s="85" t="s">
        <v>2466</v>
      </c>
      <c r="D499" s="86" t="s">
        <v>2466</v>
      </c>
      <c r="E499" s="85" t="s">
        <v>6181</v>
      </c>
      <c r="F499" s="86" t="s">
        <v>6181</v>
      </c>
      <c r="G499" s="85" t="s">
        <v>211</v>
      </c>
      <c r="H499" s="87"/>
    </row>
    <row r="500">
      <c r="A500" s="89">
        <v>74184.0</v>
      </c>
      <c r="B500" s="84" t="s">
        <v>6182</v>
      </c>
      <c r="C500" s="85" t="s">
        <v>3451</v>
      </c>
      <c r="D500" s="86" t="s">
        <v>3451</v>
      </c>
      <c r="E500" s="85" t="s">
        <v>6183</v>
      </c>
      <c r="F500" s="86" t="s">
        <v>6183</v>
      </c>
      <c r="G500" s="85" t="s">
        <v>211</v>
      </c>
      <c r="H500" s="87"/>
    </row>
    <row r="501">
      <c r="A501" s="89">
        <v>74962.0</v>
      </c>
      <c r="B501" s="84" t="s">
        <v>6184</v>
      </c>
      <c r="C501" s="85" t="s">
        <v>3254</v>
      </c>
      <c r="D501" s="86" t="s">
        <v>3254</v>
      </c>
      <c r="E501" s="85" t="s">
        <v>6185</v>
      </c>
      <c r="F501" s="86" t="s">
        <v>6185</v>
      </c>
      <c r="G501" s="85" t="s">
        <v>211</v>
      </c>
      <c r="H501" s="87"/>
    </row>
    <row r="502">
      <c r="A502" s="89">
        <v>8775816.0</v>
      </c>
      <c r="B502" s="93" t="s">
        <v>6186</v>
      </c>
      <c r="C502" s="85" t="s">
        <v>3236</v>
      </c>
      <c r="D502" s="86" t="s">
        <v>3236</v>
      </c>
      <c r="E502" s="85" t="s">
        <v>6187</v>
      </c>
      <c r="F502" s="86" t="s">
        <v>6187</v>
      </c>
      <c r="G502" s="85" t="s">
        <v>211</v>
      </c>
      <c r="H502" s="87"/>
    </row>
    <row r="503">
      <c r="A503" s="89">
        <v>8775823.0</v>
      </c>
      <c r="B503" s="93" t="s">
        <v>6186</v>
      </c>
      <c r="C503" s="85" t="s">
        <v>3242</v>
      </c>
      <c r="D503" s="86" t="s">
        <v>3242</v>
      </c>
      <c r="E503" s="85" t="s">
        <v>6187</v>
      </c>
      <c r="F503" s="86" t="s">
        <v>6187</v>
      </c>
      <c r="G503" s="85" t="s">
        <v>211</v>
      </c>
      <c r="H503" s="87"/>
    </row>
    <row r="504">
      <c r="A504" s="89">
        <v>7.290115200027E12</v>
      </c>
      <c r="B504" s="93" t="s">
        <v>3447</v>
      </c>
      <c r="C504" s="85" t="s">
        <v>3443</v>
      </c>
      <c r="D504" s="86" t="s">
        <v>3443</v>
      </c>
      <c r="E504" s="85" t="s">
        <v>6188</v>
      </c>
      <c r="F504" s="86" t="s">
        <v>6188</v>
      </c>
      <c r="G504" s="85" t="s">
        <v>211</v>
      </c>
      <c r="H504" s="87"/>
    </row>
    <row r="505">
      <c r="A505" s="89">
        <v>7.290112345332E12</v>
      </c>
      <c r="B505" s="93" t="s">
        <v>1198</v>
      </c>
      <c r="C505" s="85" t="s">
        <v>1202</v>
      </c>
      <c r="D505" s="86" t="s">
        <v>1202</v>
      </c>
      <c r="E505" s="85" t="s">
        <v>6189</v>
      </c>
      <c r="F505" s="86" t="s">
        <v>6189</v>
      </c>
      <c r="G505" s="85" t="s">
        <v>211</v>
      </c>
      <c r="H505" s="87"/>
    </row>
    <row r="506">
      <c r="A506" s="89">
        <v>7.290100853689E12</v>
      </c>
      <c r="B506" s="93" t="s">
        <v>1198</v>
      </c>
      <c r="C506" s="85" t="s">
        <v>1213</v>
      </c>
      <c r="D506" s="86" t="s">
        <v>1213</v>
      </c>
      <c r="E506" s="85" t="s">
        <v>6189</v>
      </c>
      <c r="F506" s="86" t="s">
        <v>6189</v>
      </c>
      <c r="G506" s="85" t="s">
        <v>211</v>
      </c>
      <c r="H506" s="87"/>
    </row>
    <row r="507">
      <c r="A507" s="89">
        <v>7.290107954457E12</v>
      </c>
      <c r="B507" s="93" t="s">
        <v>1198</v>
      </c>
      <c r="C507" s="85" t="s">
        <v>1193</v>
      </c>
      <c r="D507" s="86" t="s">
        <v>1193</v>
      </c>
      <c r="E507" s="85" t="s">
        <v>6189</v>
      </c>
      <c r="F507" s="86" t="s">
        <v>6189</v>
      </c>
      <c r="G507" s="85" t="s">
        <v>211</v>
      </c>
      <c r="H507" s="87"/>
    </row>
    <row r="508">
      <c r="A508" s="89">
        <v>7.29011249429E12</v>
      </c>
      <c r="B508" s="84" t="s">
        <v>724</v>
      </c>
      <c r="C508" s="85" t="s">
        <v>6004</v>
      </c>
      <c r="D508" s="86" t="s">
        <v>6004</v>
      </c>
      <c r="E508" s="85" t="s">
        <v>6190</v>
      </c>
      <c r="F508" s="86" t="s">
        <v>6190</v>
      </c>
      <c r="G508" s="85" t="s">
        <v>596</v>
      </c>
      <c r="H508" s="87"/>
    </row>
    <row r="509">
      <c r="A509" s="89">
        <v>9.044400841E12</v>
      </c>
      <c r="B509" s="84" t="s">
        <v>3456</v>
      </c>
      <c r="C509" s="85" t="s">
        <v>3459</v>
      </c>
      <c r="D509" s="86" t="s">
        <v>3459</v>
      </c>
      <c r="E509" s="85" t="s">
        <v>6191</v>
      </c>
      <c r="F509" s="86" t="s">
        <v>6191</v>
      </c>
      <c r="G509" s="85" t="s">
        <v>596</v>
      </c>
      <c r="H509" s="87"/>
    </row>
    <row r="510">
      <c r="A510" s="89">
        <v>5.413548280189E12</v>
      </c>
      <c r="B510" s="84" t="s">
        <v>2100</v>
      </c>
      <c r="C510" s="85" t="s">
        <v>2149</v>
      </c>
      <c r="D510" s="86" t="s">
        <v>2149</v>
      </c>
      <c r="E510" s="85" t="s">
        <v>6192</v>
      </c>
      <c r="F510" s="86" t="s">
        <v>6192</v>
      </c>
      <c r="G510" s="85" t="s">
        <v>596</v>
      </c>
      <c r="H510" s="87"/>
    </row>
    <row r="511">
      <c r="A511" s="89">
        <v>6.928542902795E12</v>
      </c>
      <c r="B511" s="84" t="s">
        <v>1445</v>
      </c>
      <c r="C511" s="85" t="s">
        <v>1449</v>
      </c>
      <c r="D511" s="86" t="s">
        <v>1449</v>
      </c>
      <c r="E511" s="85" t="s">
        <v>6193</v>
      </c>
      <c r="F511" s="86" t="s">
        <v>6193</v>
      </c>
      <c r="G511" s="85" t="s">
        <v>596</v>
      </c>
      <c r="H511" s="87"/>
    </row>
    <row r="512">
      <c r="A512" s="89">
        <v>7.724511061E10</v>
      </c>
      <c r="B512" s="84" t="s">
        <v>2862</v>
      </c>
      <c r="C512" s="85" t="s">
        <v>2885</v>
      </c>
      <c r="D512" s="86" t="s">
        <v>2885</v>
      </c>
      <c r="E512" s="85" t="s">
        <v>6194</v>
      </c>
      <c r="F512" s="86" t="s">
        <v>6194</v>
      </c>
      <c r="G512" s="85" t="s">
        <v>596</v>
      </c>
      <c r="H512" s="87"/>
    </row>
    <row r="513">
      <c r="A513" s="89">
        <v>7.290112336644E12</v>
      </c>
      <c r="B513" s="84" t="s">
        <v>2862</v>
      </c>
      <c r="C513" s="85" t="s">
        <v>2922</v>
      </c>
      <c r="D513" s="86" t="s">
        <v>2922</v>
      </c>
      <c r="E513" s="85" t="s">
        <v>6194</v>
      </c>
      <c r="F513" s="86" t="s">
        <v>6194</v>
      </c>
      <c r="G513" s="85" t="s">
        <v>596</v>
      </c>
      <c r="H513" s="87"/>
    </row>
    <row r="514">
      <c r="A514" s="89">
        <v>7.290112336651E12</v>
      </c>
      <c r="B514" s="84" t="s">
        <v>2862</v>
      </c>
      <c r="C514" s="85" t="s">
        <v>2904</v>
      </c>
      <c r="D514" s="86" t="s">
        <v>2904</v>
      </c>
      <c r="E514" s="85" t="s">
        <v>6194</v>
      </c>
      <c r="F514" s="86" t="s">
        <v>6194</v>
      </c>
      <c r="G514" s="85" t="s">
        <v>596</v>
      </c>
      <c r="H514" s="87"/>
    </row>
    <row r="515">
      <c r="A515" s="89">
        <v>4.014400914696E12</v>
      </c>
      <c r="B515" s="84" t="s">
        <v>4868</v>
      </c>
      <c r="C515" s="85" t="s">
        <v>4871</v>
      </c>
      <c r="D515" s="86" t="s">
        <v>4871</v>
      </c>
      <c r="E515" s="85" t="s">
        <v>6110</v>
      </c>
      <c r="F515" s="86" t="s">
        <v>6110</v>
      </c>
      <c r="G515" s="85" t="s">
        <v>596</v>
      </c>
      <c r="H515" s="87"/>
    </row>
    <row r="516">
      <c r="A516" s="89">
        <v>6.928542902801E12</v>
      </c>
      <c r="B516" s="84" t="s">
        <v>1445</v>
      </c>
      <c r="C516" s="85" t="s">
        <v>1462</v>
      </c>
      <c r="D516" s="86" t="s">
        <v>1462</v>
      </c>
      <c r="E516" s="85" t="s">
        <v>6193</v>
      </c>
      <c r="F516" s="86" t="s">
        <v>6193</v>
      </c>
      <c r="G516" s="85" t="s">
        <v>596</v>
      </c>
      <c r="H516" s="87"/>
    </row>
    <row r="517">
      <c r="A517" s="89">
        <v>7.290106662964E12</v>
      </c>
      <c r="B517" s="94" t="s">
        <v>3148</v>
      </c>
      <c r="C517" s="84" t="s">
        <v>3143</v>
      </c>
      <c r="D517" s="86" t="s">
        <v>3143</v>
      </c>
      <c r="E517" s="85" t="s">
        <v>6195</v>
      </c>
      <c r="F517" s="86" t="s">
        <v>6195</v>
      </c>
      <c r="G517" s="85" t="s">
        <v>596</v>
      </c>
      <c r="H517" s="87"/>
    </row>
    <row r="518">
      <c r="A518" s="89">
        <v>6.928542902818E12</v>
      </c>
      <c r="B518" s="95" t="s">
        <v>1445</v>
      </c>
      <c r="C518" s="85" t="s">
        <v>1456</v>
      </c>
      <c r="D518" s="86" t="s">
        <v>1456</v>
      </c>
      <c r="E518" s="85" t="s">
        <v>6193</v>
      </c>
      <c r="F518" s="86" t="s">
        <v>6193</v>
      </c>
      <c r="G518" s="85" t="s">
        <v>596</v>
      </c>
      <c r="H518" s="87"/>
    </row>
    <row r="519">
      <c r="A519" s="89">
        <v>7.290112336637E12</v>
      </c>
      <c r="B519" s="84" t="s">
        <v>2862</v>
      </c>
      <c r="C519" s="85" t="s">
        <v>2916</v>
      </c>
      <c r="D519" s="86" t="s">
        <v>2916</v>
      </c>
      <c r="E519" s="85" t="s">
        <v>6194</v>
      </c>
      <c r="F519" s="86" t="s">
        <v>6194</v>
      </c>
      <c r="G519" s="85" t="s">
        <v>596</v>
      </c>
      <c r="H519" s="87"/>
    </row>
    <row r="520">
      <c r="A520" s="89">
        <v>7.290112337474E12</v>
      </c>
      <c r="B520" s="84" t="s">
        <v>2862</v>
      </c>
      <c r="C520" s="85" t="s">
        <v>2898</v>
      </c>
      <c r="D520" s="86" t="s">
        <v>2898</v>
      </c>
      <c r="E520" s="85" t="s">
        <v>6194</v>
      </c>
      <c r="F520" s="86" t="s">
        <v>6194</v>
      </c>
      <c r="G520" s="85" t="s">
        <v>596</v>
      </c>
      <c r="H520" s="87"/>
    </row>
    <row r="521">
      <c r="A521" s="89">
        <v>7.290112337481E12</v>
      </c>
      <c r="B521" s="84" t="s">
        <v>2862</v>
      </c>
      <c r="C521" s="85" t="s">
        <v>2910</v>
      </c>
      <c r="D521" s="86" t="s">
        <v>2910</v>
      </c>
      <c r="E521" s="85" t="s">
        <v>6194</v>
      </c>
      <c r="F521" s="86" t="s">
        <v>6194</v>
      </c>
      <c r="G521" s="85" t="s">
        <v>596</v>
      </c>
      <c r="H521" s="87"/>
    </row>
    <row r="522">
      <c r="A522" s="89">
        <v>7.290105961525E12</v>
      </c>
      <c r="B522" s="84" t="s">
        <v>4399</v>
      </c>
      <c r="C522" s="85" t="s">
        <v>4402</v>
      </c>
      <c r="D522" s="86" t="s">
        <v>4402</v>
      </c>
      <c r="E522" s="85" t="s">
        <v>6196</v>
      </c>
      <c r="F522" s="86" t="s">
        <v>6196</v>
      </c>
      <c r="G522" s="85" t="s">
        <v>596</v>
      </c>
      <c r="H522" s="87"/>
    </row>
    <row r="523">
      <c r="A523" s="89">
        <v>7.61650055346E12</v>
      </c>
      <c r="B523" s="84" t="s">
        <v>1479</v>
      </c>
      <c r="C523" s="85" t="s">
        <v>1497</v>
      </c>
      <c r="D523" s="86" t="s">
        <v>1497</v>
      </c>
      <c r="E523" s="85" t="s">
        <v>6197</v>
      </c>
      <c r="F523" s="86" t="s">
        <v>6197</v>
      </c>
      <c r="G523" s="85" t="s">
        <v>596</v>
      </c>
      <c r="H523" s="87"/>
    </row>
    <row r="524">
      <c r="A524" s="89">
        <v>7.616500553484E12</v>
      </c>
      <c r="B524" s="84" t="s">
        <v>1479</v>
      </c>
      <c r="C524" s="85" t="s">
        <v>1483</v>
      </c>
      <c r="D524" s="86" t="s">
        <v>1483</v>
      </c>
      <c r="E524" s="85" t="s">
        <v>6197</v>
      </c>
      <c r="F524" s="86" t="s">
        <v>6197</v>
      </c>
      <c r="G524" s="85" t="s">
        <v>596</v>
      </c>
      <c r="H524" s="87"/>
    </row>
    <row r="525">
      <c r="A525" s="89">
        <v>7.616500646087E12</v>
      </c>
      <c r="B525" s="84" t="s">
        <v>1479</v>
      </c>
      <c r="C525" s="85" t="s">
        <v>1476</v>
      </c>
      <c r="D525" s="86" t="s">
        <v>1476</v>
      </c>
      <c r="E525" s="85" t="s">
        <v>6197</v>
      </c>
      <c r="F525" s="86" t="s">
        <v>6197</v>
      </c>
      <c r="G525" s="85" t="s">
        <v>596</v>
      </c>
      <c r="H525" s="87"/>
    </row>
    <row r="526">
      <c r="A526" s="89">
        <v>7.616500647251E12</v>
      </c>
      <c r="B526" s="84" t="s">
        <v>1479</v>
      </c>
      <c r="C526" s="85" t="s">
        <v>1491</v>
      </c>
      <c r="D526" s="86" t="s">
        <v>1491</v>
      </c>
      <c r="E526" s="85" t="s">
        <v>6197</v>
      </c>
      <c r="F526" s="86" t="s">
        <v>6197</v>
      </c>
      <c r="G526" s="85" t="s">
        <v>596</v>
      </c>
      <c r="H526" s="87"/>
    </row>
    <row r="527">
      <c r="A527" s="89">
        <v>8.690526009339E12</v>
      </c>
      <c r="B527" s="84" t="s">
        <v>4841</v>
      </c>
      <c r="C527" s="85" t="s">
        <v>4845</v>
      </c>
      <c r="D527" s="86" t="s">
        <v>4845</v>
      </c>
      <c r="E527" s="85" t="s">
        <v>6198</v>
      </c>
      <c r="F527" s="86" t="s">
        <v>6198</v>
      </c>
      <c r="G527" s="85" t="s">
        <v>596</v>
      </c>
      <c r="H527" s="87"/>
    </row>
    <row r="528">
      <c r="A528" s="89">
        <v>8.690526009315E12</v>
      </c>
      <c r="B528" s="84" t="s">
        <v>4841</v>
      </c>
      <c r="C528" s="85" t="s">
        <v>4838</v>
      </c>
      <c r="D528" s="86" t="s">
        <v>4838</v>
      </c>
      <c r="E528" s="85" t="s">
        <v>6198</v>
      </c>
      <c r="F528" s="86" t="s">
        <v>6198</v>
      </c>
      <c r="G528" s="85" t="s">
        <v>596</v>
      </c>
      <c r="H528" s="87"/>
    </row>
    <row r="529">
      <c r="A529" s="89">
        <v>7.0970471254E10</v>
      </c>
      <c r="B529" s="84" t="s">
        <v>2689</v>
      </c>
      <c r="C529" s="85" t="s">
        <v>2684</v>
      </c>
      <c r="D529" s="86" t="s">
        <v>2684</v>
      </c>
      <c r="E529" s="85" t="s">
        <v>6199</v>
      </c>
      <c r="F529" s="86" t="s">
        <v>6199</v>
      </c>
      <c r="G529" s="85" t="s">
        <v>596</v>
      </c>
      <c r="H529" s="87"/>
    </row>
    <row r="530">
      <c r="A530" s="89">
        <v>7.0970473562E10</v>
      </c>
      <c r="B530" s="84" t="s">
        <v>2689</v>
      </c>
      <c r="C530" s="85" t="s">
        <v>2693</v>
      </c>
      <c r="D530" s="86" t="s">
        <v>2693</v>
      </c>
      <c r="E530" s="85" t="s">
        <v>6199</v>
      </c>
      <c r="F530" s="86" t="s">
        <v>6199</v>
      </c>
      <c r="G530" s="85" t="s">
        <v>596</v>
      </c>
      <c r="H530" s="87"/>
    </row>
    <row r="531">
      <c r="A531" s="89">
        <v>170077.0</v>
      </c>
      <c r="B531" s="84" t="s">
        <v>636</v>
      </c>
      <c r="C531" s="85" t="s">
        <v>6005</v>
      </c>
      <c r="D531" s="86" t="s">
        <v>6005</v>
      </c>
      <c r="E531" s="85" t="s">
        <v>6200</v>
      </c>
      <c r="F531" s="86" t="s">
        <v>6200</v>
      </c>
      <c r="G531" s="85" t="s">
        <v>596</v>
      </c>
      <c r="H531" s="87"/>
    </row>
    <row r="532">
      <c r="A532" s="89">
        <v>170053.0</v>
      </c>
      <c r="B532" s="84" t="s">
        <v>636</v>
      </c>
      <c r="C532" s="85" t="s">
        <v>6006</v>
      </c>
      <c r="D532" s="86" t="s">
        <v>6006</v>
      </c>
      <c r="E532" s="85" t="s">
        <v>6200</v>
      </c>
      <c r="F532" s="86" t="s">
        <v>6200</v>
      </c>
      <c r="G532" s="85" t="s">
        <v>596</v>
      </c>
      <c r="H532" s="87"/>
    </row>
    <row r="533">
      <c r="A533" s="89">
        <v>7.290112351098E12</v>
      </c>
      <c r="B533" s="84" t="s">
        <v>636</v>
      </c>
      <c r="C533" s="85" t="s">
        <v>679</v>
      </c>
      <c r="D533" s="86" t="s">
        <v>679</v>
      </c>
      <c r="E533" s="85" t="s">
        <v>6200</v>
      </c>
      <c r="F533" s="86" t="s">
        <v>6200</v>
      </c>
      <c r="G533" s="85" t="s">
        <v>596</v>
      </c>
      <c r="H533" s="87"/>
    </row>
    <row r="534">
      <c r="A534" s="89">
        <v>8747424.0</v>
      </c>
      <c r="B534" s="84" t="s">
        <v>636</v>
      </c>
      <c r="C534" s="85" t="s">
        <v>6007</v>
      </c>
      <c r="D534" s="86" t="s">
        <v>6007</v>
      </c>
      <c r="E534" s="85" t="s">
        <v>6200</v>
      </c>
      <c r="F534" s="86" t="s">
        <v>6200</v>
      </c>
      <c r="G534" s="85" t="s">
        <v>596</v>
      </c>
      <c r="H534" s="87"/>
    </row>
    <row r="535">
      <c r="A535" s="89">
        <v>7.290112348548E12</v>
      </c>
      <c r="B535" s="84" t="s">
        <v>636</v>
      </c>
      <c r="C535" s="85" t="s">
        <v>685</v>
      </c>
      <c r="D535" s="86" t="s">
        <v>685</v>
      </c>
      <c r="E535" s="85" t="s">
        <v>6200</v>
      </c>
      <c r="F535" s="86" t="s">
        <v>6200</v>
      </c>
      <c r="G535" s="85" t="s">
        <v>596</v>
      </c>
      <c r="H535" s="87"/>
    </row>
    <row r="536">
      <c r="A536" s="89">
        <v>8750400.0</v>
      </c>
      <c r="B536" s="84" t="s">
        <v>636</v>
      </c>
      <c r="C536" s="85" t="s">
        <v>691</v>
      </c>
      <c r="D536" s="86" t="s">
        <v>691</v>
      </c>
      <c r="E536" s="85" t="s">
        <v>6200</v>
      </c>
      <c r="F536" s="86" t="s">
        <v>6200</v>
      </c>
      <c r="G536" s="85" t="s">
        <v>596</v>
      </c>
      <c r="H536" s="87"/>
    </row>
    <row r="537">
      <c r="A537" s="89">
        <v>7.29011235121E12</v>
      </c>
      <c r="B537" s="84" t="s">
        <v>636</v>
      </c>
      <c r="C537" s="85" t="s">
        <v>661</v>
      </c>
      <c r="D537" s="86" t="s">
        <v>661</v>
      </c>
      <c r="E537" s="85" t="s">
        <v>6200</v>
      </c>
      <c r="F537" s="86" t="s">
        <v>6200</v>
      </c>
      <c r="G537" s="85" t="s">
        <v>596</v>
      </c>
      <c r="H537" s="87"/>
    </row>
    <row r="538">
      <c r="A538" s="89">
        <v>7.290112351197E12</v>
      </c>
      <c r="B538" s="84" t="s">
        <v>636</v>
      </c>
      <c r="C538" s="85" t="s">
        <v>633</v>
      </c>
      <c r="D538" s="86" t="s">
        <v>633</v>
      </c>
      <c r="E538" s="85" t="s">
        <v>6200</v>
      </c>
      <c r="F538" s="86" t="s">
        <v>6200</v>
      </c>
      <c r="G538" s="85" t="s">
        <v>596</v>
      </c>
      <c r="H538" s="87"/>
    </row>
    <row r="539">
      <c r="A539" s="89">
        <v>7.290107951623E12</v>
      </c>
      <c r="B539" s="84" t="s">
        <v>636</v>
      </c>
      <c r="C539" s="85" t="s">
        <v>640</v>
      </c>
      <c r="D539" s="86" t="s">
        <v>640</v>
      </c>
      <c r="E539" s="85" t="s">
        <v>6200</v>
      </c>
      <c r="F539" s="86" t="s">
        <v>6200</v>
      </c>
      <c r="G539" s="85" t="s">
        <v>596</v>
      </c>
      <c r="H539" s="87"/>
    </row>
    <row r="540">
      <c r="A540" s="89">
        <v>4.025700001023E12</v>
      </c>
      <c r="B540" s="84" t="s">
        <v>2698</v>
      </c>
      <c r="C540" s="85" t="s">
        <v>2713</v>
      </c>
      <c r="D540" s="86" t="s">
        <v>2713</v>
      </c>
      <c r="E540" s="85" t="s">
        <v>6179</v>
      </c>
      <c r="F540" s="86" t="s">
        <v>6179</v>
      </c>
      <c r="G540" s="85" t="s">
        <v>596</v>
      </c>
      <c r="H540" s="87"/>
    </row>
    <row r="541">
      <c r="A541" s="89">
        <v>7.62230061782E12</v>
      </c>
      <c r="B541" s="84" t="s">
        <v>2698</v>
      </c>
      <c r="C541" s="85" t="s">
        <v>2732</v>
      </c>
      <c r="D541" s="86" t="s">
        <v>2732</v>
      </c>
      <c r="E541" s="85" t="s">
        <v>6179</v>
      </c>
      <c r="F541" s="86" t="s">
        <v>6179</v>
      </c>
      <c r="G541" s="85" t="s">
        <v>596</v>
      </c>
      <c r="H541" s="87"/>
    </row>
    <row r="542">
      <c r="A542" s="89">
        <v>7.622210826053E12</v>
      </c>
      <c r="B542" s="84" t="s">
        <v>2698</v>
      </c>
      <c r="C542" s="85" t="s">
        <v>2725</v>
      </c>
      <c r="D542" s="86" t="s">
        <v>2725</v>
      </c>
      <c r="E542" s="85" t="s">
        <v>6179</v>
      </c>
      <c r="F542" s="86" t="s">
        <v>6179</v>
      </c>
      <c r="G542" s="85" t="s">
        <v>596</v>
      </c>
      <c r="H542" s="87"/>
    </row>
    <row r="543">
      <c r="A543" s="89">
        <v>5200908.0</v>
      </c>
      <c r="B543" s="84" t="s">
        <v>6201</v>
      </c>
      <c r="C543" s="85" t="s">
        <v>667</v>
      </c>
      <c r="D543" s="86" t="s">
        <v>667</v>
      </c>
      <c r="E543" s="85" t="s">
        <v>6202</v>
      </c>
      <c r="F543" s="86" t="s">
        <v>6202</v>
      </c>
      <c r="G543" s="85" t="s">
        <v>596</v>
      </c>
      <c r="H543" s="87"/>
    </row>
    <row r="544">
      <c r="A544" s="89">
        <v>7.290112494276E12</v>
      </c>
      <c r="B544" s="84" t="s">
        <v>724</v>
      </c>
      <c r="C544" s="85" t="s">
        <v>741</v>
      </c>
      <c r="D544" s="86" t="s">
        <v>741</v>
      </c>
      <c r="E544" s="85" t="s">
        <v>6190</v>
      </c>
      <c r="F544" s="86" t="s">
        <v>6190</v>
      </c>
      <c r="G544" s="85" t="s">
        <v>596</v>
      </c>
      <c r="H544" s="87"/>
    </row>
    <row r="545">
      <c r="A545" s="89">
        <v>7.290112494221E12</v>
      </c>
      <c r="B545" s="84" t="s">
        <v>724</v>
      </c>
      <c r="C545" s="85" t="s">
        <v>728</v>
      </c>
      <c r="D545" s="86" t="s">
        <v>728</v>
      </c>
      <c r="E545" s="85" t="s">
        <v>6190</v>
      </c>
      <c r="F545" s="86" t="s">
        <v>6190</v>
      </c>
      <c r="G545" s="85" t="s">
        <v>596</v>
      </c>
      <c r="H545" s="87"/>
    </row>
    <row r="546">
      <c r="A546" s="89">
        <v>7.290112494313E12</v>
      </c>
      <c r="B546" s="84" t="s">
        <v>724</v>
      </c>
      <c r="C546" s="85" t="s">
        <v>735</v>
      </c>
      <c r="D546" s="86" t="s">
        <v>735</v>
      </c>
      <c r="E546" s="85" t="s">
        <v>6190</v>
      </c>
      <c r="F546" s="86" t="s">
        <v>6190</v>
      </c>
      <c r="G546" s="85" t="s">
        <v>596</v>
      </c>
      <c r="H546" s="87"/>
    </row>
    <row r="547">
      <c r="A547" s="89">
        <v>7.290112494283E12</v>
      </c>
      <c r="B547" s="84" t="s">
        <v>724</v>
      </c>
      <c r="C547" s="85" t="s">
        <v>760</v>
      </c>
      <c r="D547" s="86" t="s">
        <v>760</v>
      </c>
      <c r="E547" s="85" t="s">
        <v>6190</v>
      </c>
      <c r="F547" s="86" t="s">
        <v>6190</v>
      </c>
      <c r="G547" s="85" t="s">
        <v>596</v>
      </c>
      <c r="H547" s="87"/>
    </row>
    <row r="548">
      <c r="A548" s="89">
        <v>7.290112494238E12</v>
      </c>
      <c r="B548" s="84" t="s">
        <v>724</v>
      </c>
      <c r="C548" s="85" t="s">
        <v>747</v>
      </c>
      <c r="D548" s="86" t="s">
        <v>747</v>
      </c>
      <c r="E548" s="85" t="s">
        <v>6190</v>
      </c>
      <c r="F548" s="86" t="s">
        <v>6190</v>
      </c>
      <c r="G548" s="85" t="s">
        <v>596</v>
      </c>
      <c r="H548" s="87"/>
    </row>
    <row r="549">
      <c r="A549" s="89">
        <v>7.290112349262E12</v>
      </c>
      <c r="B549" s="84" t="s">
        <v>2077</v>
      </c>
      <c r="C549" s="85" t="s">
        <v>3129</v>
      </c>
      <c r="D549" s="86" t="s">
        <v>3129</v>
      </c>
      <c r="E549" s="85" t="s">
        <v>6203</v>
      </c>
      <c r="F549" s="86" t="s">
        <v>6203</v>
      </c>
      <c r="G549" s="85" t="s">
        <v>596</v>
      </c>
      <c r="H549" s="87"/>
    </row>
    <row r="550">
      <c r="A550" s="89">
        <v>7.290112347626E12</v>
      </c>
      <c r="B550" s="84" t="s">
        <v>2077</v>
      </c>
      <c r="C550" s="85" t="s">
        <v>2074</v>
      </c>
      <c r="D550" s="86" t="s">
        <v>2074</v>
      </c>
      <c r="E550" s="85" t="s">
        <v>6203</v>
      </c>
      <c r="F550" s="86" t="s">
        <v>6203</v>
      </c>
      <c r="G550" s="85" t="s">
        <v>596</v>
      </c>
      <c r="H550" s="87"/>
    </row>
    <row r="551">
      <c r="A551" s="89">
        <v>7.290112349255E12</v>
      </c>
      <c r="B551" s="84" t="s">
        <v>2077</v>
      </c>
      <c r="C551" s="85" t="s">
        <v>3135</v>
      </c>
      <c r="D551" s="86" t="s">
        <v>3135</v>
      </c>
      <c r="E551" s="85" t="s">
        <v>6203</v>
      </c>
      <c r="F551" s="86" t="s">
        <v>6203</v>
      </c>
      <c r="G551" s="85" t="s">
        <v>596</v>
      </c>
      <c r="H551" s="87"/>
    </row>
    <row r="552">
      <c r="A552" s="89">
        <v>8.0177616E7</v>
      </c>
      <c r="B552" s="84" t="s">
        <v>2100</v>
      </c>
      <c r="C552" s="85" t="s">
        <v>2145</v>
      </c>
      <c r="D552" s="86" t="s">
        <v>2145</v>
      </c>
      <c r="E552" s="85" t="s">
        <v>6192</v>
      </c>
      <c r="F552" s="86" t="s">
        <v>6192</v>
      </c>
      <c r="G552" s="85" t="s">
        <v>596</v>
      </c>
      <c r="H552" s="87"/>
    </row>
    <row r="553">
      <c r="A553" s="89">
        <v>5.000159473866E12</v>
      </c>
      <c r="B553" s="84" t="s">
        <v>4336</v>
      </c>
      <c r="C553" s="85" t="s">
        <v>4333</v>
      </c>
      <c r="D553" s="86" t="s">
        <v>4333</v>
      </c>
      <c r="E553" s="85" t="s">
        <v>6204</v>
      </c>
      <c r="F553" s="86" t="s">
        <v>6204</v>
      </c>
      <c r="G553" s="85" t="s">
        <v>596</v>
      </c>
      <c r="H553" s="87"/>
    </row>
    <row r="554">
      <c r="A554" s="89">
        <v>7.290112358011E12</v>
      </c>
      <c r="B554" s="84" t="s">
        <v>3016</v>
      </c>
      <c r="C554" s="85" t="s">
        <v>3012</v>
      </c>
      <c r="D554" s="86" t="s">
        <v>3012</v>
      </c>
      <c r="E554" s="85" t="s">
        <v>6205</v>
      </c>
      <c r="F554" s="86" t="s">
        <v>6205</v>
      </c>
      <c r="G554" s="85" t="s">
        <v>596</v>
      </c>
      <c r="H554" s="87"/>
    </row>
    <row r="555">
      <c r="A555" s="89">
        <v>7.290112344007E12</v>
      </c>
      <c r="B555" s="84" t="s">
        <v>4411</v>
      </c>
      <c r="C555" s="85" t="s">
        <v>4415</v>
      </c>
      <c r="D555" s="86" t="s">
        <v>4415</v>
      </c>
      <c r="E555" s="85" t="s">
        <v>6206</v>
      </c>
      <c r="F555" s="86" t="s">
        <v>6206</v>
      </c>
      <c r="G555" s="85" t="s">
        <v>596</v>
      </c>
      <c r="H555" s="87"/>
    </row>
    <row r="556">
      <c r="A556" s="89">
        <v>7.290112344793E12</v>
      </c>
      <c r="B556" s="84" t="s">
        <v>4411</v>
      </c>
      <c r="C556" s="85" t="s">
        <v>4408</v>
      </c>
      <c r="D556" s="86" t="s">
        <v>4408</v>
      </c>
      <c r="E556" s="85" t="s">
        <v>6206</v>
      </c>
      <c r="F556" s="86" t="s">
        <v>6206</v>
      </c>
      <c r="G556" s="85" t="s">
        <v>596</v>
      </c>
      <c r="H556" s="87"/>
    </row>
    <row r="557">
      <c r="A557" s="89">
        <v>8.000500227848E12</v>
      </c>
      <c r="B557" s="84" t="s">
        <v>3167</v>
      </c>
      <c r="C557" s="85" t="s">
        <v>3163</v>
      </c>
      <c r="D557" s="86" t="s">
        <v>3163</v>
      </c>
      <c r="E557" s="85" t="s">
        <v>6207</v>
      </c>
      <c r="F557" s="86" t="s">
        <v>6207</v>
      </c>
      <c r="G557" s="85" t="s">
        <v>596</v>
      </c>
      <c r="H557" s="87"/>
    </row>
    <row r="558">
      <c r="A558" s="89">
        <v>2022152.0</v>
      </c>
      <c r="B558" s="84" t="s">
        <v>6208</v>
      </c>
      <c r="C558" s="85" t="s">
        <v>591</v>
      </c>
      <c r="D558" s="86" t="s">
        <v>591</v>
      </c>
      <c r="E558" s="85" t="s">
        <v>6209</v>
      </c>
      <c r="F558" s="86" t="s">
        <v>6209</v>
      </c>
      <c r="G558" s="85" t="s">
        <v>596</v>
      </c>
      <c r="H558" s="87"/>
    </row>
    <row r="559">
      <c r="A559" s="89">
        <v>4.0084107E7</v>
      </c>
      <c r="B559" s="84" t="s">
        <v>2129</v>
      </c>
      <c r="C559" s="85" t="s">
        <v>2139</v>
      </c>
      <c r="D559" s="86" t="s">
        <v>2139</v>
      </c>
      <c r="E559" s="85" t="s">
        <v>6210</v>
      </c>
      <c r="F559" s="86" t="s">
        <v>6210</v>
      </c>
      <c r="G559" s="85" t="s">
        <v>596</v>
      </c>
      <c r="H559" s="87"/>
    </row>
    <row r="560">
      <c r="A560" s="89">
        <v>8.0974482E7</v>
      </c>
      <c r="B560" s="84" t="s">
        <v>2129</v>
      </c>
      <c r="C560" s="85" t="s">
        <v>2125</v>
      </c>
      <c r="D560" s="86" t="s">
        <v>2125</v>
      </c>
      <c r="E560" s="85" t="s">
        <v>6210</v>
      </c>
      <c r="F560" s="86" t="s">
        <v>6210</v>
      </c>
      <c r="G560" s="85" t="s">
        <v>596</v>
      </c>
      <c r="H560" s="87"/>
    </row>
    <row r="561">
      <c r="A561" s="89">
        <v>8.0768258E7</v>
      </c>
      <c r="B561" s="84" t="s">
        <v>2129</v>
      </c>
      <c r="C561" s="85" t="s">
        <v>2133</v>
      </c>
      <c r="D561" s="86" t="s">
        <v>2133</v>
      </c>
      <c r="E561" s="85" t="s">
        <v>6210</v>
      </c>
      <c r="F561" s="86" t="s">
        <v>6210</v>
      </c>
      <c r="G561" s="85" t="s">
        <v>596</v>
      </c>
      <c r="H561" s="87"/>
    </row>
    <row r="562">
      <c r="A562" s="89">
        <v>65557.0</v>
      </c>
      <c r="B562" s="84" t="s">
        <v>2522</v>
      </c>
      <c r="C562" s="85" t="s">
        <v>2526</v>
      </c>
      <c r="D562" s="86" t="s">
        <v>2526</v>
      </c>
      <c r="E562" s="85" t="s">
        <v>6211</v>
      </c>
      <c r="F562" s="86" t="s">
        <v>6211</v>
      </c>
      <c r="G562" s="85" t="s">
        <v>2596</v>
      </c>
      <c r="H562" s="87"/>
    </row>
    <row r="563">
      <c r="A563" s="89">
        <v>67599.0</v>
      </c>
      <c r="B563" s="84" t="s">
        <v>2522</v>
      </c>
      <c r="C563" s="85" t="s">
        <v>2532</v>
      </c>
      <c r="D563" s="86" t="s">
        <v>2532</v>
      </c>
      <c r="E563" s="85" t="s">
        <v>6211</v>
      </c>
      <c r="F563" s="86" t="s">
        <v>6211</v>
      </c>
      <c r="G563" s="85" t="s">
        <v>2596</v>
      </c>
      <c r="H563" s="87"/>
    </row>
    <row r="564">
      <c r="A564" s="89">
        <v>7.29010068065E12</v>
      </c>
      <c r="B564" s="84" t="s">
        <v>2522</v>
      </c>
      <c r="C564" s="85" t="s">
        <v>2544</v>
      </c>
      <c r="D564" s="86" t="s">
        <v>2544</v>
      </c>
      <c r="E564" s="85" t="s">
        <v>6211</v>
      </c>
      <c r="F564" s="86" t="s">
        <v>6211</v>
      </c>
      <c r="G564" s="85" t="s">
        <v>2596</v>
      </c>
      <c r="H564" s="87"/>
    </row>
    <row r="565">
      <c r="A565" s="89">
        <v>7.290112969538E12</v>
      </c>
      <c r="B565" s="84" t="s">
        <v>2522</v>
      </c>
      <c r="C565" s="85" t="s">
        <v>2538</v>
      </c>
      <c r="D565" s="86" t="s">
        <v>2538</v>
      </c>
      <c r="E565" s="85" t="s">
        <v>6211</v>
      </c>
      <c r="F565" s="86" t="s">
        <v>6211</v>
      </c>
      <c r="G565" s="85" t="s">
        <v>2596</v>
      </c>
      <c r="H565" s="87"/>
    </row>
    <row r="566">
      <c r="A566" s="89">
        <v>73750.0</v>
      </c>
      <c r="B566" s="84" t="s">
        <v>2522</v>
      </c>
      <c r="C566" s="85" t="s">
        <v>2517</v>
      </c>
      <c r="D566" s="86" t="s">
        <v>2517</v>
      </c>
      <c r="E566" s="85" t="s">
        <v>6211</v>
      </c>
      <c r="F566" s="86" t="s">
        <v>6211</v>
      </c>
      <c r="G566" s="85" t="s">
        <v>2596</v>
      </c>
      <c r="H566" s="87"/>
    </row>
    <row r="567">
      <c r="A567" s="89">
        <v>7.290112969965E12</v>
      </c>
      <c r="B567" s="84" t="s">
        <v>2522</v>
      </c>
      <c r="C567" s="85" t="s">
        <v>2550</v>
      </c>
      <c r="D567" s="86" t="s">
        <v>2550</v>
      </c>
      <c r="E567" s="85" t="s">
        <v>6211</v>
      </c>
      <c r="F567" s="86" t="s">
        <v>6211</v>
      </c>
      <c r="G567" s="85" t="s">
        <v>2596</v>
      </c>
      <c r="H567" s="87"/>
    </row>
    <row r="568">
      <c r="A568" s="89">
        <v>7.290112497291E12</v>
      </c>
      <c r="B568" s="84" t="s">
        <v>2948</v>
      </c>
      <c r="C568" s="85" t="s">
        <v>2952</v>
      </c>
      <c r="D568" s="86" t="s">
        <v>2952</v>
      </c>
      <c r="E568" s="85" t="s">
        <v>6212</v>
      </c>
      <c r="F568" s="86" t="s">
        <v>6212</v>
      </c>
      <c r="G568" s="85" t="s">
        <v>2596</v>
      </c>
      <c r="H568" s="87"/>
    </row>
    <row r="569">
      <c r="A569" s="89">
        <v>7.290112497284E12</v>
      </c>
      <c r="B569" s="84" t="s">
        <v>2948</v>
      </c>
      <c r="C569" s="85" t="s">
        <v>2945</v>
      </c>
      <c r="D569" s="86" t="s">
        <v>2945</v>
      </c>
      <c r="E569" s="85" t="s">
        <v>6212</v>
      </c>
      <c r="F569" s="86" t="s">
        <v>6212</v>
      </c>
      <c r="G569" s="85" t="s">
        <v>2596</v>
      </c>
      <c r="H569" s="87"/>
    </row>
    <row r="570">
      <c r="A570" s="89">
        <v>7.290100247815E12</v>
      </c>
      <c r="B570" s="84" t="s">
        <v>2935</v>
      </c>
      <c r="C570" s="85" t="s">
        <v>2939</v>
      </c>
      <c r="D570" s="86" t="s">
        <v>2939</v>
      </c>
      <c r="E570" s="85" t="s">
        <v>6213</v>
      </c>
      <c r="F570" s="86" t="s">
        <v>6213</v>
      </c>
      <c r="G570" s="85" t="s">
        <v>2596</v>
      </c>
      <c r="H570" s="87"/>
    </row>
    <row r="571">
      <c r="A571" s="89">
        <v>7.290100247822E12</v>
      </c>
      <c r="B571" s="84" t="s">
        <v>2935</v>
      </c>
      <c r="C571" s="85" t="s">
        <v>2964</v>
      </c>
      <c r="D571" s="86" t="s">
        <v>2964</v>
      </c>
      <c r="E571" s="85" t="s">
        <v>6213</v>
      </c>
      <c r="F571" s="86" t="s">
        <v>6213</v>
      </c>
      <c r="G571" s="85" t="s">
        <v>2596</v>
      </c>
      <c r="H571" s="87"/>
    </row>
    <row r="572">
      <c r="A572" s="89">
        <v>7.290100247808E12</v>
      </c>
      <c r="B572" s="84" t="s">
        <v>2935</v>
      </c>
      <c r="C572" s="85" t="s">
        <v>2930</v>
      </c>
      <c r="D572" s="86" t="s">
        <v>2930</v>
      </c>
      <c r="E572" s="85" t="s">
        <v>6213</v>
      </c>
      <c r="F572" s="86" t="s">
        <v>6213</v>
      </c>
      <c r="G572" s="85" t="s">
        <v>2596</v>
      </c>
      <c r="H572" s="87"/>
    </row>
    <row r="573">
      <c r="A573" s="89">
        <v>7.290100247839E12</v>
      </c>
      <c r="B573" s="84" t="s">
        <v>2935</v>
      </c>
      <c r="C573" s="85" t="s">
        <v>2958</v>
      </c>
      <c r="D573" s="86" t="s">
        <v>2958</v>
      </c>
      <c r="E573" s="85" t="s">
        <v>6213</v>
      </c>
      <c r="F573" s="86" t="s">
        <v>6213</v>
      </c>
      <c r="G573" s="85" t="s">
        <v>2596</v>
      </c>
      <c r="H573" s="87"/>
    </row>
    <row r="574">
      <c r="A574" s="89">
        <v>63133.0</v>
      </c>
      <c r="B574" s="84" t="s">
        <v>3271</v>
      </c>
      <c r="C574" s="85" t="s">
        <v>3266</v>
      </c>
      <c r="D574" s="86" t="s">
        <v>3266</v>
      </c>
      <c r="E574" s="85" t="s">
        <v>6214</v>
      </c>
      <c r="F574" s="86" t="s">
        <v>6214</v>
      </c>
      <c r="G574" s="85" t="s">
        <v>2596</v>
      </c>
      <c r="H574" s="87"/>
    </row>
    <row r="575">
      <c r="A575" s="89">
        <v>7.290112492357E12</v>
      </c>
      <c r="B575" s="84" t="s">
        <v>3290</v>
      </c>
      <c r="C575" s="85" t="s">
        <v>3286</v>
      </c>
      <c r="D575" s="86" t="s">
        <v>3286</v>
      </c>
      <c r="E575" s="85" t="s">
        <v>6215</v>
      </c>
      <c r="F575" s="86" t="s">
        <v>6215</v>
      </c>
      <c r="G575" s="85" t="s">
        <v>957</v>
      </c>
      <c r="H575" s="87"/>
    </row>
    <row r="576">
      <c r="A576" s="89">
        <v>7.290112492258E12</v>
      </c>
      <c r="B576" s="84" t="s">
        <v>3290</v>
      </c>
      <c r="C576" s="85" t="s">
        <v>3294</v>
      </c>
      <c r="D576" s="86" t="s">
        <v>3294</v>
      </c>
      <c r="E576" s="85" t="s">
        <v>6215</v>
      </c>
      <c r="F576" s="86" t="s">
        <v>6215</v>
      </c>
      <c r="G576" s="85" t="s">
        <v>957</v>
      </c>
      <c r="H576" s="87"/>
    </row>
    <row r="577">
      <c r="A577" s="89">
        <v>7.290112495976E12</v>
      </c>
      <c r="B577" s="84" t="s">
        <v>3290</v>
      </c>
      <c r="C577" s="85" t="s">
        <v>3301</v>
      </c>
      <c r="D577" s="86" t="s">
        <v>3301</v>
      </c>
      <c r="E577" s="85" t="s">
        <v>6215</v>
      </c>
      <c r="F577" s="86" t="s">
        <v>6215</v>
      </c>
      <c r="G577" s="85" t="s">
        <v>957</v>
      </c>
      <c r="H577" s="87"/>
    </row>
    <row r="578">
      <c r="A578" s="89">
        <v>7.290112495983E12</v>
      </c>
      <c r="B578" s="84" t="s">
        <v>3290</v>
      </c>
      <c r="C578" s="85" t="s">
        <v>3710</v>
      </c>
      <c r="D578" s="86" t="s">
        <v>3710</v>
      </c>
      <c r="E578" s="85" t="s">
        <v>6215</v>
      </c>
      <c r="F578" s="86" t="s">
        <v>6215</v>
      </c>
      <c r="G578" s="85" t="s">
        <v>957</v>
      </c>
      <c r="H578" s="87"/>
    </row>
    <row r="579">
      <c r="A579" s="89">
        <v>7.290112496294E12</v>
      </c>
      <c r="B579" s="84" t="s">
        <v>3282</v>
      </c>
      <c r="C579" s="85" t="s">
        <v>3278</v>
      </c>
      <c r="D579" s="86" t="s">
        <v>3278</v>
      </c>
      <c r="E579" s="85" t="s">
        <v>6216</v>
      </c>
      <c r="F579" s="86" t="s">
        <v>6216</v>
      </c>
      <c r="G579" s="85" t="s">
        <v>957</v>
      </c>
      <c r="H579" s="87"/>
    </row>
    <row r="580">
      <c r="A580" s="89">
        <v>7.290112496287E12</v>
      </c>
      <c r="B580" s="84" t="s">
        <v>3282</v>
      </c>
      <c r="C580" s="85" t="s">
        <v>3313</v>
      </c>
      <c r="D580" s="86" t="s">
        <v>3313</v>
      </c>
      <c r="E580" s="85" t="s">
        <v>6216</v>
      </c>
      <c r="F580" s="86" t="s">
        <v>6216</v>
      </c>
      <c r="G580" s="85" t="s">
        <v>957</v>
      </c>
      <c r="H580" s="87"/>
    </row>
    <row r="581">
      <c r="A581" s="89">
        <v>7.29011249627E12</v>
      </c>
      <c r="B581" s="84" t="s">
        <v>3282</v>
      </c>
      <c r="C581" s="85" t="s">
        <v>3307</v>
      </c>
      <c r="D581" s="86" t="s">
        <v>3307</v>
      </c>
      <c r="E581" s="85" t="s">
        <v>6216</v>
      </c>
      <c r="F581" s="86" t="s">
        <v>6216</v>
      </c>
      <c r="G581" s="85" t="s">
        <v>957</v>
      </c>
      <c r="H581" s="87"/>
    </row>
    <row r="582">
      <c r="A582" s="89">
        <v>7.290112332585E12</v>
      </c>
      <c r="B582" s="84" t="s">
        <v>6217</v>
      </c>
      <c r="C582" s="85" t="s">
        <v>3716</v>
      </c>
      <c r="D582" s="86" t="s">
        <v>3716</v>
      </c>
      <c r="E582" s="85" t="s">
        <v>6218</v>
      </c>
      <c r="F582" s="86" t="s">
        <v>6218</v>
      </c>
      <c r="G582" s="85" t="s">
        <v>957</v>
      </c>
      <c r="H582" s="87"/>
    </row>
    <row r="583">
      <c r="A583" s="89">
        <v>7.2901105603E12</v>
      </c>
      <c r="B583" s="84" t="s">
        <v>6217</v>
      </c>
      <c r="C583" s="85" t="s">
        <v>3720</v>
      </c>
      <c r="D583" s="86" t="s">
        <v>3720</v>
      </c>
      <c r="E583" s="85" t="s">
        <v>6218</v>
      </c>
      <c r="F583" s="86" t="s">
        <v>6218</v>
      </c>
      <c r="G583" s="85" t="s">
        <v>957</v>
      </c>
      <c r="H583" s="87"/>
    </row>
    <row r="584">
      <c r="A584" s="89">
        <v>7.2901123355E12</v>
      </c>
      <c r="B584" s="84" t="s">
        <v>6217</v>
      </c>
      <c r="C584" s="85" t="s">
        <v>3724</v>
      </c>
      <c r="D584" s="86" t="s">
        <v>3724</v>
      </c>
      <c r="E584" s="85" t="s">
        <v>6218</v>
      </c>
      <c r="F584" s="86" t="s">
        <v>6218</v>
      </c>
      <c r="G584" s="85" t="s">
        <v>957</v>
      </c>
      <c r="H584" s="87"/>
    </row>
    <row r="585">
      <c r="A585" s="89">
        <v>2043034.0</v>
      </c>
      <c r="B585" s="84" t="s">
        <v>3623</v>
      </c>
      <c r="C585" s="85" t="s">
        <v>3633</v>
      </c>
      <c r="D585" s="86" t="s">
        <v>3633</v>
      </c>
      <c r="E585" s="85" t="s">
        <v>6219</v>
      </c>
      <c r="F585" s="86" t="s">
        <v>6219</v>
      </c>
      <c r="G585" s="85" t="s">
        <v>957</v>
      </c>
      <c r="H585" s="87"/>
    </row>
    <row r="586">
      <c r="A586" s="89">
        <v>2043058.0</v>
      </c>
      <c r="B586" s="84" t="s">
        <v>3623</v>
      </c>
      <c r="C586" s="85" t="s">
        <v>3645</v>
      </c>
      <c r="D586" s="86" t="s">
        <v>3645</v>
      </c>
      <c r="E586" s="85" t="s">
        <v>6219</v>
      </c>
      <c r="F586" s="86" t="s">
        <v>6219</v>
      </c>
      <c r="G586" s="85" t="s">
        <v>957</v>
      </c>
      <c r="H586" s="87"/>
    </row>
    <row r="587">
      <c r="A587" s="89">
        <v>2043065.0</v>
      </c>
      <c r="B587" s="84" t="s">
        <v>3623</v>
      </c>
      <c r="C587" s="85" t="s">
        <v>3627</v>
      </c>
      <c r="D587" s="86" t="s">
        <v>3627</v>
      </c>
      <c r="E587" s="85" t="s">
        <v>6219</v>
      </c>
      <c r="F587" s="86" t="s">
        <v>6219</v>
      </c>
      <c r="G587" s="85" t="s">
        <v>957</v>
      </c>
      <c r="H587" s="87"/>
    </row>
    <row r="588">
      <c r="A588" s="89">
        <v>2043072.0</v>
      </c>
      <c r="B588" s="84" t="s">
        <v>3623</v>
      </c>
      <c r="C588" s="85" t="s">
        <v>3639</v>
      </c>
      <c r="D588" s="86" t="s">
        <v>3639</v>
      </c>
      <c r="E588" s="85" t="s">
        <v>6219</v>
      </c>
      <c r="F588" s="86" t="s">
        <v>6219</v>
      </c>
      <c r="G588" s="85" t="s">
        <v>957</v>
      </c>
      <c r="H588" s="87"/>
    </row>
    <row r="589">
      <c r="A589" s="89">
        <v>2043096.0</v>
      </c>
      <c r="B589" s="84" t="s">
        <v>3623</v>
      </c>
      <c r="C589" s="85" t="s">
        <v>3651</v>
      </c>
      <c r="D589" s="86" t="s">
        <v>3651</v>
      </c>
      <c r="E589" s="85" t="s">
        <v>6219</v>
      </c>
      <c r="F589" s="86" t="s">
        <v>6219</v>
      </c>
      <c r="G589" s="85" t="s">
        <v>957</v>
      </c>
      <c r="H589" s="87"/>
    </row>
    <row r="590">
      <c r="A590" s="89">
        <v>7.290106526822E12</v>
      </c>
      <c r="B590" s="84" t="s">
        <v>1306</v>
      </c>
      <c r="C590" s="85" t="s">
        <v>3612</v>
      </c>
      <c r="D590" s="86" t="s">
        <v>3612</v>
      </c>
      <c r="E590" s="85" t="s">
        <v>6220</v>
      </c>
      <c r="F590" s="86" t="s">
        <v>6220</v>
      </c>
      <c r="G590" s="85" t="s">
        <v>957</v>
      </c>
      <c r="H590" s="87"/>
    </row>
    <row r="591">
      <c r="A591" s="89">
        <v>7.290105968777E12</v>
      </c>
      <c r="B591" s="84" t="s">
        <v>1306</v>
      </c>
      <c r="C591" s="85" t="s">
        <v>3600</v>
      </c>
      <c r="D591" s="86" t="s">
        <v>3600</v>
      </c>
      <c r="E591" s="85" t="s">
        <v>6220</v>
      </c>
      <c r="F591" s="86" t="s">
        <v>6220</v>
      </c>
      <c r="G591" s="85" t="s">
        <v>957</v>
      </c>
      <c r="H591" s="87"/>
    </row>
    <row r="592">
      <c r="A592" s="89">
        <v>7.290106527386E12</v>
      </c>
      <c r="B592" s="84" t="s">
        <v>1306</v>
      </c>
      <c r="C592" s="85" t="s">
        <v>1302</v>
      </c>
      <c r="D592" s="86" t="s">
        <v>1302</v>
      </c>
      <c r="E592" s="85" t="s">
        <v>6220</v>
      </c>
      <c r="F592" s="86" t="s">
        <v>6220</v>
      </c>
      <c r="G592" s="85" t="s">
        <v>957</v>
      </c>
      <c r="H592" s="87"/>
    </row>
    <row r="593">
      <c r="A593" s="89">
        <v>2043126.0</v>
      </c>
      <c r="B593" s="84" t="s">
        <v>3623</v>
      </c>
      <c r="C593" s="85" t="s">
        <v>3620</v>
      </c>
      <c r="D593" s="86" t="s">
        <v>3620</v>
      </c>
      <c r="E593" s="85" t="s">
        <v>6219</v>
      </c>
      <c r="F593" s="86" t="s">
        <v>6219</v>
      </c>
      <c r="G593" s="85" t="s">
        <v>957</v>
      </c>
      <c r="H593" s="87"/>
    </row>
    <row r="594">
      <c r="A594" s="89">
        <v>2043812.0</v>
      </c>
      <c r="B594" s="84" t="s">
        <v>3623</v>
      </c>
      <c r="C594" s="85" t="s">
        <v>3657</v>
      </c>
      <c r="D594" s="86" t="s">
        <v>3657</v>
      </c>
      <c r="E594" s="85" t="s">
        <v>6219</v>
      </c>
      <c r="F594" s="86" t="s">
        <v>6219</v>
      </c>
      <c r="G594" s="85" t="s">
        <v>957</v>
      </c>
      <c r="H594" s="87"/>
    </row>
    <row r="595">
      <c r="A595" s="89">
        <v>2043782.0</v>
      </c>
      <c r="B595" s="84" t="s">
        <v>3623</v>
      </c>
      <c r="C595" s="85" t="s">
        <v>3688</v>
      </c>
      <c r="D595" s="86" t="s">
        <v>3688</v>
      </c>
      <c r="E595" s="85" t="s">
        <v>6219</v>
      </c>
      <c r="F595" s="86" t="s">
        <v>6219</v>
      </c>
      <c r="G595" s="85" t="s">
        <v>957</v>
      </c>
      <c r="H595" s="87"/>
    </row>
    <row r="596">
      <c r="A596" s="89">
        <v>2043188.0</v>
      </c>
      <c r="B596" s="84" t="s">
        <v>3623</v>
      </c>
      <c r="C596" s="85" t="s">
        <v>3682</v>
      </c>
      <c r="D596" s="86" t="s">
        <v>3682</v>
      </c>
      <c r="E596" s="85" t="s">
        <v>6219</v>
      </c>
      <c r="F596" s="86" t="s">
        <v>6219</v>
      </c>
      <c r="G596" s="85" t="s">
        <v>957</v>
      </c>
      <c r="H596" s="87"/>
    </row>
    <row r="597">
      <c r="A597" s="89">
        <v>7.290112967381E12</v>
      </c>
      <c r="B597" s="84" t="s">
        <v>6221</v>
      </c>
      <c r="C597" s="85" t="s">
        <v>3706</v>
      </c>
      <c r="D597" s="86" t="s">
        <v>3706</v>
      </c>
      <c r="E597" s="85" t="s">
        <v>6222</v>
      </c>
      <c r="F597" s="86" t="s">
        <v>6222</v>
      </c>
      <c r="G597" s="85" t="s">
        <v>957</v>
      </c>
      <c r="H597" s="87"/>
    </row>
    <row r="598">
      <c r="A598" s="89">
        <v>7.290112967114E12</v>
      </c>
      <c r="B598" s="84" t="s">
        <v>6221</v>
      </c>
      <c r="C598" s="85" t="s">
        <v>3702</v>
      </c>
      <c r="D598" s="86" t="s">
        <v>3702</v>
      </c>
      <c r="E598" s="85" t="s">
        <v>6222</v>
      </c>
      <c r="F598" s="86" t="s">
        <v>6222</v>
      </c>
      <c r="G598" s="85" t="s">
        <v>957</v>
      </c>
      <c r="H598" s="87"/>
    </row>
    <row r="599">
      <c r="A599" s="89">
        <v>74481.0</v>
      </c>
      <c r="B599" s="84" t="s">
        <v>6223</v>
      </c>
      <c r="C599" s="85" t="s">
        <v>2321</v>
      </c>
      <c r="D599" s="86" t="s">
        <v>2321</v>
      </c>
      <c r="E599" s="85" t="s">
        <v>6224</v>
      </c>
      <c r="F599" s="86" t="s">
        <v>6224</v>
      </c>
      <c r="G599" s="85" t="s">
        <v>957</v>
      </c>
      <c r="H599" s="87"/>
    </row>
    <row r="600">
      <c r="A600" s="89">
        <v>6983176.0</v>
      </c>
      <c r="B600" s="84" t="s">
        <v>6223</v>
      </c>
      <c r="C600" s="85" t="s">
        <v>2327</v>
      </c>
      <c r="D600" s="86" t="s">
        <v>2327</v>
      </c>
      <c r="E600" s="85" t="s">
        <v>6224</v>
      </c>
      <c r="F600" s="86" t="s">
        <v>6224</v>
      </c>
      <c r="G600" s="85" t="s">
        <v>957</v>
      </c>
      <c r="H600" s="87"/>
    </row>
    <row r="601">
      <c r="A601" s="89">
        <v>75204.0</v>
      </c>
      <c r="B601" s="84" t="s">
        <v>6223</v>
      </c>
      <c r="C601" s="85" t="s">
        <v>2333</v>
      </c>
      <c r="D601" s="86" t="s">
        <v>2333</v>
      </c>
      <c r="E601" s="85" t="s">
        <v>6224</v>
      </c>
      <c r="F601" s="86" t="s">
        <v>6224</v>
      </c>
      <c r="G601" s="85" t="s">
        <v>957</v>
      </c>
      <c r="H601" s="87"/>
    </row>
    <row r="602">
      <c r="A602" s="89">
        <v>77253.0</v>
      </c>
      <c r="B602" s="84" t="s">
        <v>6223</v>
      </c>
      <c r="C602" s="85" t="s">
        <v>2339</v>
      </c>
      <c r="D602" s="86" t="s">
        <v>2339</v>
      </c>
      <c r="E602" s="85" t="s">
        <v>6224</v>
      </c>
      <c r="F602" s="86" t="s">
        <v>6224</v>
      </c>
      <c r="G602" s="85" t="s">
        <v>957</v>
      </c>
      <c r="H602" s="87"/>
    </row>
    <row r="603">
      <c r="A603" s="89">
        <v>60071.0</v>
      </c>
      <c r="B603" s="84" t="s">
        <v>6225</v>
      </c>
      <c r="C603" s="85" t="s">
        <v>3670</v>
      </c>
      <c r="D603" s="86" t="s">
        <v>3670</v>
      </c>
      <c r="E603" s="85" t="s">
        <v>6226</v>
      </c>
      <c r="F603" s="86" t="s">
        <v>6226</v>
      </c>
      <c r="G603" s="85" t="s">
        <v>957</v>
      </c>
      <c r="H603" s="87"/>
    </row>
    <row r="604">
      <c r="A604" s="89">
        <v>6984647.0</v>
      </c>
      <c r="B604" s="84" t="s">
        <v>6225</v>
      </c>
      <c r="C604" s="85" t="s">
        <v>3694</v>
      </c>
      <c r="D604" s="86" t="s">
        <v>3694</v>
      </c>
      <c r="E604" s="85" t="s">
        <v>6226</v>
      </c>
      <c r="F604" s="86" t="s">
        <v>6226</v>
      </c>
      <c r="G604" s="85" t="s">
        <v>957</v>
      </c>
      <c r="H604" s="87"/>
    </row>
    <row r="605">
      <c r="A605" s="89">
        <v>78762.0</v>
      </c>
      <c r="B605" s="84" t="s">
        <v>6225</v>
      </c>
      <c r="C605" s="85" t="s">
        <v>3676</v>
      </c>
      <c r="D605" s="86" t="s">
        <v>3676</v>
      </c>
      <c r="E605" s="85" t="s">
        <v>6226</v>
      </c>
      <c r="F605" s="86" t="s">
        <v>6226</v>
      </c>
      <c r="G605" s="85" t="s">
        <v>957</v>
      </c>
      <c r="H605" s="87"/>
    </row>
    <row r="606">
      <c r="A606" s="89">
        <v>74252.0</v>
      </c>
      <c r="B606" s="84" t="s">
        <v>6227</v>
      </c>
      <c r="C606" s="85" t="s">
        <v>953</v>
      </c>
      <c r="D606" s="86" t="s">
        <v>953</v>
      </c>
      <c r="E606" s="85" t="s">
        <v>6228</v>
      </c>
      <c r="F606" s="86" t="s">
        <v>6228</v>
      </c>
      <c r="G606" s="85" t="s">
        <v>957</v>
      </c>
      <c r="H606" s="87"/>
    </row>
    <row r="607">
      <c r="A607" s="89">
        <v>74375.0</v>
      </c>
      <c r="B607" s="84" t="s">
        <v>6227</v>
      </c>
      <c r="C607" s="85" t="s">
        <v>961</v>
      </c>
      <c r="D607" s="86" t="s">
        <v>961</v>
      </c>
      <c r="E607" s="85" t="s">
        <v>6228</v>
      </c>
      <c r="F607" s="86" t="s">
        <v>6228</v>
      </c>
      <c r="G607" s="85" t="s">
        <v>957</v>
      </c>
      <c r="H607" s="87"/>
    </row>
    <row r="608">
      <c r="A608" s="89">
        <v>74245.0</v>
      </c>
      <c r="B608" s="84" t="s">
        <v>6227</v>
      </c>
      <c r="C608" s="85" t="s">
        <v>967</v>
      </c>
      <c r="D608" s="86" t="s">
        <v>967</v>
      </c>
      <c r="E608" s="85" t="s">
        <v>6228</v>
      </c>
      <c r="F608" s="86" t="s">
        <v>6228</v>
      </c>
      <c r="G608" s="85" t="s">
        <v>957</v>
      </c>
      <c r="H608" s="87"/>
    </row>
    <row r="609">
      <c r="A609" s="89">
        <v>68343.0</v>
      </c>
      <c r="B609" s="84" t="s">
        <v>6225</v>
      </c>
      <c r="C609" s="85" t="s">
        <v>3664</v>
      </c>
      <c r="D609" s="86" t="s">
        <v>3664</v>
      </c>
      <c r="E609" s="85" t="s">
        <v>6226</v>
      </c>
      <c r="F609" s="86" t="s">
        <v>6226</v>
      </c>
      <c r="G609" s="85" t="s">
        <v>957</v>
      </c>
      <c r="H609" s="87"/>
    </row>
    <row r="610">
      <c r="A610" s="89">
        <v>7.290107953917E12</v>
      </c>
      <c r="B610" s="84" t="s">
        <v>1306</v>
      </c>
      <c r="C610" s="85" t="s">
        <v>3606</v>
      </c>
      <c r="D610" s="86" t="s">
        <v>3606</v>
      </c>
      <c r="E610" s="85" t="s">
        <v>6220</v>
      </c>
      <c r="F610" s="86" t="s">
        <v>6220</v>
      </c>
      <c r="G610" s="85" t="s">
        <v>957</v>
      </c>
      <c r="H610" s="87"/>
    </row>
    <row r="611">
      <c r="A611" s="89">
        <v>7.2901079331E12</v>
      </c>
      <c r="B611" s="84" t="s">
        <v>1306</v>
      </c>
      <c r="C611" s="85" t="s">
        <v>3587</v>
      </c>
      <c r="D611" s="86" t="s">
        <v>3587</v>
      </c>
      <c r="E611" s="85" t="s">
        <v>6220</v>
      </c>
      <c r="F611" s="86" t="s">
        <v>6220</v>
      </c>
      <c r="G611" s="85" t="s">
        <v>957</v>
      </c>
      <c r="H611" s="87"/>
    </row>
    <row r="612">
      <c r="A612" s="89">
        <v>7.290107933117E12</v>
      </c>
      <c r="B612" s="84" t="s">
        <v>1306</v>
      </c>
      <c r="C612" s="85" t="s">
        <v>3594</v>
      </c>
      <c r="D612" s="86" t="s">
        <v>3594</v>
      </c>
      <c r="E612" s="85" t="s">
        <v>6220</v>
      </c>
      <c r="F612" s="86" t="s">
        <v>6220</v>
      </c>
      <c r="G612" s="85" t="s">
        <v>957</v>
      </c>
      <c r="H612" s="87"/>
    </row>
    <row r="613">
      <c r="A613" s="89">
        <v>7.290105364302E12</v>
      </c>
      <c r="B613" s="84" t="s">
        <v>2068</v>
      </c>
      <c r="C613" s="85" t="s">
        <v>2065</v>
      </c>
      <c r="D613" s="86" t="s">
        <v>2065</v>
      </c>
      <c r="E613" s="85" t="s">
        <v>6229</v>
      </c>
      <c r="F613" s="86" t="s">
        <v>6229</v>
      </c>
      <c r="G613" s="85" t="s">
        <v>284</v>
      </c>
      <c r="H613" s="87"/>
    </row>
    <row r="614">
      <c r="A614" s="89">
        <v>8.690504153764E12</v>
      </c>
      <c r="B614" s="84" t="s">
        <v>1680</v>
      </c>
      <c r="C614" s="85" t="s">
        <v>1683</v>
      </c>
      <c r="D614" s="86" t="s">
        <v>1683</v>
      </c>
      <c r="E614" s="85" t="s">
        <v>6230</v>
      </c>
      <c r="F614" s="86" t="s">
        <v>6230</v>
      </c>
      <c r="G614" s="85" t="s">
        <v>284</v>
      </c>
      <c r="H614" s="87"/>
    </row>
    <row r="615">
      <c r="A615" s="89">
        <v>8.690504153856E12</v>
      </c>
      <c r="B615" s="84" t="s">
        <v>1680</v>
      </c>
      <c r="C615" s="85" t="s">
        <v>1701</v>
      </c>
      <c r="D615" s="86" t="s">
        <v>1701</v>
      </c>
      <c r="E615" s="85" t="s">
        <v>6230</v>
      </c>
      <c r="F615" s="86" t="s">
        <v>6230</v>
      </c>
      <c r="G615" s="85" t="s">
        <v>284</v>
      </c>
      <c r="H615" s="87"/>
    </row>
    <row r="616">
      <c r="A616" s="89">
        <v>8.690504033448E12</v>
      </c>
      <c r="B616" s="84" t="s">
        <v>1680</v>
      </c>
      <c r="C616" s="85" t="s">
        <v>1695</v>
      </c>
      <c r="D616" s="86" t="s">
        <v>1695</v>
      </c>
      <c r="E616" s="85" t="s">
        <v>6230</v>
      </c>
      <c r="F616" s="86" t="s">
        <v>6230</v>
      </c>
      <c r="G616" s="85" t="s">
        <v>284</v>
      </c>
      <c r="H616" s="87"/>
    </row>
    <row r="617">
      <c r="A617" s="89">
        <v>8.690504033431E12</v>
      </c>
      <c r="B617" s="84" t="s">
        <v>1680</v>
      </c>
      <c r="C617" s="85" t="s">
        <v>1689</v>
      </c>
      <c r="D617" s="86" t="s">
        <v>1689</v>
      </c>
      <c r="E617" s="85" t="s">
        <v>6230</v>
      </c>
      <c r="F617" s="86" t="s">
        <v>6230</v>
      </c>
      <c r="G617" s="85" t="s">
        <v>284</v>
      </c>
      <c r="H617" s="87"/>
    </row>
    <row r="618">
      <c r="A618" s="89">
        <v>6.02652258244E11</v>
      </c>
      <c r="B618" s="84" t="s">
        <v>316</v>
      </c>
      <c r="C618" s="85" t="s">
        <v>319</v>
      </c>
      <c r="D618" s="86" t="s">
        <v>319</v>
      </c>
      <c r="E618" s="85" t="s">
        <v>6231</v>
      </c>
      <c r="F618" s="86" t="s">
        <v>6231</v>
      </c>
      <c r="G618" s="85" t="s">
        <v>284</v>
      </c>
      <c r="H618" s="87"/>
    </row>
    <row r="619">
      <c r="A619" s="89">
        <v>7.290112349354E12</v>
      </c>
      <c r="B619" s="84" t="s">
        <v>1437</v>
      </c>
      <c r="C619" s="85" t="s">
        <v>1432</v>
      </c>
      <c r="D619" s="86" t="s">
        <v>1432</v>
      </c>
      <c r="E619" s="85" t="s">
        <v>6232</v>
      </c>
      <c r="F619" s="86" t="s">
        <v>6232</v>
      </c>
      <c r="G619" s="85" t="s">
        <v>284</v>
      </c>
      <c r="H619" s="87"/>
    </row>
    <row r="620">
      <c r="A620" s="89">
        <v>7.290112349378E12</v>
      </c>
      <c r="B620" s="84" t="s">
        <v>1437</v>
      </c>
      <c r="C620" s="85" t="s">
        <v>1441</v>
      </c>
      <c r="D620" s="86" t="s">
        <v>1441</v>
      </c>
      <c r="E620" s="85" t="s">
        <v>6232</v>
      </c>
      <c r="F620" s="86" t="s">
        <v>6232</v>
      </c>
      <c r="G620" s="85" t="s">
        <v>284</v>
      </c>
      <c r="H620" s="87"/>
    </row>
    <row r="621">
      <c r="A621" s="89">
        <v>7.290112349347E12</v>
      </c>
      <c r="B621" s="84" t="s">
        <v>1437</v>
      </c>
      <c r="C621" s="85" t="s">
        <v>1468</v>
      </c>
      <c r="D621" s="86" t="s">
        <v>1468</v>
      </c>
      <c r="E621" s="85" t="s">
        <v>6232</v>
      </c>
      <c r="F621" s="86" t="s">
        <v>6232</v>
      </c>
      <c r="G621" s="85" t="s">
        <v>284</v>
      </c>
      <c r="H621" s="87"/>
    </row>
    <row r="622">
      <c r="A622" s="89">
        <v>8.0854753E7</v>
      </c>
      <c r="B622" s="84" t="s">
        <v>2607</v>
      </c>
      <c r="C622" s="85" t="s">
        <v>2638</v>
      </c>
      <c r="D622" s="86" t="s">
        <v>2638</v>
      </c>
      <c r="E622" s="85" t="s">
        <v>6233</v>
      </c>
      <c r="F622" s="86" t="s">
        <v>6233</v>
      </c>
      <c r="G622" s="85" t="s">
        <v>284</v>
      </c>
      <c r="H622" s="87"/>
    </row>
    <row r="623">
      <c r="A623" s="89">
        <v>8.0831402E7</v>
      </c>
      <c r="B623" s="84" t="s">
        <v>2607</v>
      </c>
      <c r="C623" s="85" t="s">
        <v>2632</v>
      </c>
      <c r="D623" s="86" t="s">
        <v>2632</v>
      </c>
      <c r="E623" s="85" t="s">
        <v>6233</v>
      </c>
      <c r="F623" s="86" t="s">
        <v>6233</v>
      </c>
      <c r="G623" s="85" t="s">
        <v>284</v>
      </c>
      <c r="H623" s="87"/>
    </row>
    <row r="624">
      <c r="A624" s="89">
        <v>5.000159376655E12</v>
      </c>
      <c r="B624" s="84" t="s">
        <v>4286</v>
      </c>
      <c r="C624" s="85" t="s">
        <v>4289</v>
      </c>
      <c r="D624" s="86" t="s">
        <v>4289</v>
      </c>
      <c r="E624" s="85" t="s">
        <v>6234</v>
      </c>
      <c r="F624" s="86" t="s">
        <v>6234</v>
      </c>
      <c r="G624" s="85" t="s">
        <v>284</v>
      </c>
      <c r="H624" s="87"/>
    </row>
    <row r="625">
      <c r="A625" s="89">
        <v>5.000159376792E12</v>
      </c>
      <c r="B625" s="84" t="s">
        <v>4286</v>
      </c>
      <c r="C625" s="85" t="s">
        <v>4295</v>
      </c>
      <c r="D625" s="86" t="s">
        <v>4295</v>
      </c>
      <c r="E625" s="85" t="s">
        <v>6234</v>
      </c>
      <c r="F625" s="86" t="s">
        <v>6234</v>
      </c>
      <c r="G625" s="85" t="s">
        <v>284</v>
      </c>
      <c r="H625" s="87"/>
    </row>
    <row r="626">
      <c r="A626" s="89">
        <v>6855046.0</v>
      </c>
      <c r="B626" s="84" t="s">
        <v>6235</v>
      </c>
      <c r="C626" s="85" t="s">
        <v>6008</v>
      </c>
      <c r="D626" s="86" t="s">
        <v>6008</v>
      </c>
      <c r="E626" s="85" t="s">
        <v>6236</v>
      </c>
      <c r="F626" s="86" t="s">
        <v>6237</v>
      </c>
      <c r="G626" s="85" t="s">
        <v>284</v>
      </c>
      <c r="H626" s="87"/>
    </row>
    <row r="627">
      <c r="A627" s="89">
        <v>6855015.0</v>
      </c>
      <c r="B627" s="84" t="s">
        <v>6235</v>
      </c>
      <c r="C627" s="85" t="s">
        <v>6009</v>
      </c>
      <c r="D627" s="86" t="s">
        <v>6009</v>
      </c>
      <c r="E627" s="85" t="s">
        <v>6236</v>
      </c>
      <c r="F627" s="86" t="s">
        <v>6237</v>
      </c>
      <c r="G627" s="85" t="s">
        <v>284</v>
      </c>
      <c r="H627" s="87"/>
    </row>
    <row r="628">
      <c r="A628" s="89">
        <v>6855008.0</v>
      </c>
      <c r="B628" s="84" t="s">
        <v>6235</v>
      </c>
      <c r="C628" s="85" t="s">
        <v>6010</v>
      </c>
      <c r="D628" s="86" t="s">
        <v>6010</v>
      </c>
      <c r="E628" s="85" t="s">
        <v>6236</v>
      </c>
      <c r="F628" s="86" t="s">
        <v>6237</v>
      </c>
      <c r="G628" s="85" t="s">
        <v>284</v>
      </c>
      <c r="H628" s="87"/>
    </row>
    <row r="629">
      <c r="A629" s="89">
        <v>6855039.0</v>
      </c>
      <c r="B629" s="84" t="s">
        <v>6235</v>
      </c>
      <c r="C629" s="85" t="s">
        <v>6011</v>
      </c>
      <c r="D629" s="86" t="s">
        <v>6011</v>
      </c>
      <c r="E629" s="85" t="s">
        <v>6236</v>
      </c>
      <c r="F629" s="86" t="s">
        <v>6237</v>
      </c>
      <c r="G629" s="85" t="s">
        <v>284</v>
      </c>
      <c r="H629" s="87"/>
    </row>
    <row r="630">
      <c r="A630" s="89">
        <v>7.290107649117E12</v>
      </c>
      <c r="B630" s="84" t="s">
        <v>724</v>
      </c>
      <c r="C630" s="85" t="s">
        <v>772</v>
      </c>
      <c r="D630" s="86" t="s">
        <v>772</v>
      </c>
      <c r="E630" s="85" t="s">
        <v>6190</v>
      </c>
      <c r="F630" s="86" t="s">
        <v>6238</v>
      </c>
      <c r="G630" s="85" t="s">
        <v>284</v>
      </c>
      <c r="H630" s="87"/>
    </row>
    <row r="631">
      <c r="A631" s="89">
        <v>8.690526009216E12</v>
      </c>
      <c r="B631" s="84" t="s">
        <v>4828</v>
      </c>
      <c r="C631" s="85" t="s">
        <v>4825</v>
      </c>
      <c r="D631" s="86" t="s">
        <v>4825</v>
      </c>
      <c r="E631" s="85" t="s">
        <v>6239</v>
      </c>
      <c r="F631" s="86" t="s">
        <v>6239</v>
      </c>
      <c r="G631" s="85" t="s">
        <v>284</v>
      </c>
      <c r="H631" s="87"/>
    </row>
    <row r="632">
      <c r="A632" s="89">
        <v>8.690526009292E12</v>
      </c>
      <c r="B632" s="84" t="s">
        <v>4828</v>
      </c>
      <c r="C632" s="85" t="s">
        <v>4832</v>
      </c>
      <c r="D632" s="86" t="s">
        <v>4832</v>
      </c>
      <c r="E632" s="85" t="s">
        <v>6239</v>
      </c>
      <c r="F632" s="86" t="s">
        <v>6239</v>
      </c>
      <c r="G632" s="85" t="s">
        <v>284</v>
      </c>
      <c r="H632" s="87"/>
    </row>
    <row r="633">
      <c r="A633" s="89">
        <v>8.690526009179E12</v>
      </c>
      <c r="B633" s="84" t="s">
        <v>4828</v>
      </c>
      <c r="C633" s="85" t="s">
        <v>4863</v>
      </c>
      <c r="D633" s="86" t="s">
        <v>4863</v>
      </c>
      <c r="E633" s="85" t="s">
        <v>6239</v>
      </c>
      <c r="F633" s="86" t="s">
        <v>6239</v>
      </c>
      <c r="G633" s="85" t="s">
        <v>284</v>
      </c>
      <c r="H633" s="87"/>
    </row>
    <row r="634">
      <c r="A634" s="89">
        <v>4.0111216E7</v>
      </c>
      <c r="B634" s="84" t="s">
        <v>497</v>
      </c>
      <c r="C634" s="85" t="s">
        <v>500</v>
      </c>
      <c r="D634" s="86" t="s">
        <v>500</v>
      </c>
      <c r="E634" s="85" t="s">
        <v>6240</v>
      </c>
      <c r="F634" s="86" t="s">
        <v>6240</v>
      </c>
      <c r="G634" s="85" t="s">
        <v>284</v>
      </c>
      <c r="H634" s="87"/>
    </row>
    <row r="635">
      <c r="A635" s="89">
        <v>5.000159459228E12</v>
      </c>
      <c r="B635" s="84" t="s">
        <v>4808</v>
      </c>
      <c r="C635" s="85" t="s">
        <v>4805</v>
      </c>
      <c r="D635" s="86" t="s">
        <v>4805</v>
      </c>
      <c r="E635" s="85" t="s">
        <v>6241</v>
      </c>
      <c r="F635" s="86" t="s">
        <v>6242</v>
      </c>
      <c r="G635" s="85" t="s">
        <v>284</v>
      </c>
      <c r="H635" s="87"/>
    </row>
    <row r="636">
      <c r="A636" s="89">
        <v>5.000159407236E12</v>
      </c>
      <c r="B636" s="84" t="s">
        <v>2555</v>
      </c>
      <c r="C636" s="85" t="s">
        <v>2558</v>
      </c>
      <c r="D636" s="86" t="s">
        <v>2558</v>
      </c>
      <c r="E636" s="85" t="s">
        <v>6243</v>
      </c>
      <c r="F636" s="86" t="s">
        <v>6243</v>
      </c>
      <c r="G636" s="85" t="s">
        <v>284</v>
      </c>
      <c r="H636" s="87"/>
    </row>
    <row r="637">
      <c r="A637" s="89">
        <v>5.000159461122E12</v>
      </c>
      <c r="B637" s="84" t="s">
        <v>4322</v>
      </c>
      <c r="C637" s="85" t="s">
        <v>4325</v>
      </c>
      <c r="D637" s="86" t="s">
        <v>4325</v>
      </c>
      <c r="E637" s="85" t="s">
        <v>6244</v>
      </c>
      <c r="F637" s="86" t="s">
        <v>6244</v>
      </c>
      <c r="G637" s="85" t="s">
        <v>284</v>
      </c>
      <c r="H637" s="87"/>
    </row>
    <row r="638">
      <c r="A638" s="89">
        <v>8.0761761E7</v>
      </c>
      <c r="B638" s="84" t="s">
        <v>2106</v>
      </c>
      <c r="C638" s="85" t="s">
        <v>2103</v>
      </c>
      <c r="D638" s="86" t="s">
        <v>2103</v>
      </c>
      <c r="E638" s="85" t="s">
        <v>6245</v>
      </c>
      <c r="F638" s="86" t="s">
        <v>6245</v>
      </c>
      <c r="G638" s="85" t="s">
        <v>284</v>
      </c>
      <c r="H638" s="87"/>
    </row>
    <row r="639">
      <c r="A639" s="89">
        <v>8.005276E7</v>
      </c>
      <c r="B639" s="84" t="s">
        <v>2106</v>
      </c>
      <c r="C639" s="85" t="s">
        <v>6012</v>
      </c>
      <c r="D639" s="86" t="s">
        <v>6012</v>
      </c>
      <c r="E639" s="85" t="s">
        <v>6245</v>
      </c>
      <c r="F639" s="86" t="s">
        <v>6245</v>
      </c>
      <c r="G639" s="85" t="s">
        <v>284</v>
      </c>
      <c r="H639" s="87"/>
    </row>
    <row r="640">
      <c r="A640" s="89">
        <v>8.000500267035E12</v>
      </c>
      <c r="B640" s="84" t="s">
        <v>2120</v>
      </c>
      <c r="C640" s="85" t="s">
        <v>2117</v>
      </c>
      <c r="D640" s="86" t="s">
        <v>2117</v>
      </c>
      <c r="E640" s="85" t="s">
        <v>6246</v>
      </c>
      <c r="F640" s="86" t="s">
        <v>6246</v>
      </c>
      <c r="G640" s="85" t="s">
        <v>284</v>
      </c>
      <c r="H640" s="87"/>
    </row>
    <row r="641">
      <c r="A641" s="89">
        <v>8.017718E7</v>
      </c>
      <c r="B641" s="84" t="s">
        <v>2113</v>
      </c>
      <c r="C641" s="85" t="s">
        <v>2110</v>
      </c>
      <c r="D641" s="86" t="s">
        <v>2110</v>
      </c>
      <c r="E641" s="85" t="s">
        <v>6247</v>
      </c>
      <c r="F641" s="86" t="s">
        <v>6247</v>
      </c>
      <c r="G641" s="85" t="s">
        <v>284</v>
      </c>
      <c r="H641" s="87"/>
    </row>
    <row r="642">
      <c r="A642" s="89">
        <v>8.0176732E7</v>
      </c>
      <c r="B642" s="84" t="s">
        <v>1776</v>
      </c>
      <c r="C642" s="85" t="s">
        <v>1771</v>
      </c>
      <c r="D642" s="86" t="s">
        <v>1771</v>
      </c>
      <c r="E642" s="85" t="s">
        <v>6248</v>
      </c>
      <c r="F642" s="86" t="s">
        <v>6248</v>
      </c>
      <c r="G642" s="85" t="s">
        <v>284</v>
      </c>
      <c r="H642" s="87"/>
    </row>
    <row r="643">
      <c r="A643" s="89">
        <v>7.290107947497E12</v>
      </c>
      <c r="B643" s="84" t="s">
        <v>1309</v>
      </c>
      <c r="C643" s="85" t="s">
        <v>1312</v>
      </c>
      <c r="D643" s="86" t="s">
        <v>1312</v>
      </c>
      <c r="E643" s="85" t="s">
        <v>6249</v>
      </c>
      <c r="F643" s="86" t="s">
        <v>6250</v>
      </c>
      <c r="G643" s="85" t="s">
        <v>284</v>
      </c>
      <c r="H643" s="87"/>
    </row>
    <row r="644">
      <c r="A644" s="89">
        <v>7.290107947503E12</v>
      </c>
      <c r="B644" s="84" t="s">
        <v>1309</v>
      </c>
      <c r="C644" s="85" t="s">
        <v>1319</v>
      </c>
      <c r="D644" s="86" t="s">
        <v>1319</v>
      </c>
      <c r="E644" s="85" t="s">
        <v>6249</v>
      </c>
      <c r="F644" s="86" t="s">
        <v>6250</v>
      </c>
      <c r="G644" s="85" t="s">
        <v>284</v>
      </c>
      <c r="H644" s="87"/>
    </row>
    <row r="645">
      <c r="A645" s="89">
        <v>7.29011056593E12</v>
      </c>
      <c r="B645" s="84" t="s">
        <v>1309</v>
      </c>
      <c r="C645" s="85" t="s">
        <v>1325</v>
      </c>
      <c r="D645" s="86" t="s">
        <v>1325</v>
      </c>
      <c r="E645" s="85" t="s">
        <v>6249</v>
      </c>
      <c r="F645" s="86" t="s">
        <v>6250</v>
      </c>
      <c r="G645" s="85" t="s">
        <v>284</v>
      </c>
      <c r="H645" s="87"/>
    </row>
    <row r="646">
      <c r="A646" s="89">
        <v>7.290107931397E12</v>
      </c>
      <c r="B646" s="84" t="s">
        <v>2091</v>
      </c>
      <c r="C646" s="85" t="s">
        <v>2088</v>
      </c>
      <c r="D646" s="86" t="s">
        <v>2088</v>
      </c>
      <c r="E646" s="85" t="s">
        <v>6251</v>
      </c>
      <c r="F646" s="86" t="s">
        <v>6251</v>
      </c>
      <c r="G646" s="85" t="s">
        <v>284</v>
      </c>
      <c r="H646" s="87"/>
    </row>
    <row r="647">
      <c r="A647" s="89">
        <v>7.290107945332E12</v>
      </c>
      <c r="B647" s="84" t="s">
        <v>198</v>
      </c>
      <c r="C647" s="85" t="s">
        <v>240</v>
      </c>
      <c r="D647" s="86" t="s">
        <v>240</v>
      </c>
      <c r="E647" s="85" t="s">
        <v>6252</v>
      </c>
      <c r="F647" s="86" t="s">
        <v>6253</v>
      </c>
      <c r="G647" s="85" t="s">
        <v>284</v>
      </c>
      <c r="H647" s="87"/>
    </row>
    <row r="648">
      <c r="A648" s="89">
        <v>7.290107943048E12</v>
      </c>
      <c r="B648" s="84" t="s">
        <v>198</v>
      </c>
      <c r="C648" s="85" t="s">
        <v>233</v>
      </c>
      <c r="D648" s="86" t="s">
        <v>233</v>
      </c>
      <c r="E648" s="85" t="s">
        <v>6252</v>
      </c>
      <c r="F648" s="86" t="s">
        <v>6253</v>
      </c>
      <c r="G648" s="85" t="s">
        <v>284</v>
      </c>
      <c r="H648" s="87"/>
    </row>
    <row r="649">
      <c r="A649" s="89">
        <v>7.290112334879E12</v>
      </c>
      <c r="B649" s="84" t="s">
        <v>198</v>
      </c>
      <c r="C649" s="85" t="s">
        <v>194</v>
      </c>
      <c r="D649" s="86" t="s">
        <v>194</v>
      </c>
      <c r="E649" s="85" t="s">
        <v>6252</v>
      </c>
      <c r="F649" s="86" t="s">
        <v>6253</v>
      </c>
      <c r="G649" s="85" t="s">
        <v>284</v>
      </c>
      <c r="H649" s="87"/>
    </row>
    <row r="650">
      <c r="A650" s="89">
        <v>7.290106658479E12</v>
      </c>
      <c r="B650" s="84" t="s">
        <v>4772</v>
      </c>
      <c r="C650" s="85" t="s">
        <v>4775</v>
      </c>
      <c r="D650" s="86" t="s">
        <v>4775</v>
      </c>
      <c r="E650" s="85" t="s">
        <v>6254</v>
      </c>
      <c r="F650" s="86" t="s">
        <v>6169</v>
      </c>
      <c r="G650" s="85" t="s">
        <v>284</v>
      </c>
      <c r="H650" s="87"/>
    </row>
    <row r="651">
      <c r="A651" s="89">
        <v>7.290107937597E12</v>
      </c>
      <c r="B651" s="84" t="s">
        <v>3972</v>
      </c>
      <c r="C651" s="85" t="s">
        <v>3969</v>
      </c>
      <c r="D651" s="86" t="s">
        <v>3969</v>
      </c>
      <c r="E651" s="85" t="s">
        <v>6255</v>
      </c>
      <c r="F651" s="86" t="s">
        <v>6256</v>
      </c>
      <c r="G651" s="85" t="s">
        <v>284</v>
      </c>
      <c r="H651" s="87"/>
    </row>
    <row r="652">
      <c r="A652" s="89">
        <v>8747431.0</v>
      </c>
      <c r="B652" s="84" t="s">
        <v>6257</v>
      </c>
      <c r="C652" s="85" t="s">
        <v>648</v>
      </c>
      <c r="D652" s="86" t="s">
        <v>648</v>
      </c>
      <c r="E652" s="85" t="s">
        <v>6258</v>
      </c>
      <c r="F652" s="86" t="s">
        <v>6258</v>
      </c>
      <c r="G652" s="85" t="s">
        <v>284</v>
      </c>
      <c r="H652" s="87"/>
    </row>
    <row r="653">
      <c r="A653" s="89">
        <v>7.290105361707E12</v>
      </c>
      <c r="B653" s="84" t="s">
        <v>2062</v>
      </c>
      <c r="C653" s="85" t="s">
        <v>2095</v>
      </c>
      <c r="D653" s="86" t="s">
        <v>2095</v>
      </c>
      <c r="E653" s="85" t="s">
        <v>6259</v>
      </c>
      <c r="F653" s="86" t="s">
        <v>6259</v>
      </c>
      <c r="G653" s="85" t="s">
        <v>284</v>
      </c>
      <c r="H653" s="87"/>
    </row>
    <row r="654">
      <c r="A654" s="89">
        <v>171470.0</v>
      </c>
      <c r="B654" s="84" t="s">
        <v>2062</v>
      </c>
      <c r="C654" s="85" t="s">
        <v>2081</v>
      </c>
      <c r="D654" s="86" t="s">
        <v>2081</v>
      </c>
      <c r="E654" s="85" t="s">
        <v>6259</v>
      </c>
      <c r="F654" s="86" t="s">
        <v>6259</v>
      </c>
      <c r="G654" s="85" t="s">
        <v>284</v>
      </c>
      <c r="H654" s="87"/>
    </row>
    <row r="655">
      <c r="A655" s="89">
        <v>7.2917367E7</v>
      </c>
      <c r="B655" s="84" t="s">
        <v>4554</v>
      </c>
      <c r="C655" s="85" t="s">
        <v>4557</v>
      </c>
      <c r="D655" s="86" t="s">
        <v>4557</v>
      </c>
      <c r="E655" s="85" t="s">
        <v>6260</v>
      </c>
      <c r="F655" s="86" t="s">
        <v>6261</v>
      </c>
      <c r="G655" s="85" t="s">
        <v>284</v>
      </c>
      <c r="H655" s="87"/>
    </row>
    <row r="656">
      <c r="A656" s="89">
        <v>7.2917589E7</v>
      </c>
      <c r="B656" s="84" t="s">
        <v>2599</v>
      </c>
      <c r="C656" s="85" t="s">
        <v>2602</v>
      </c>
      <c r="D656" s="86" t="s">
        <v>2602</v>
      </c>
      <c r="E656" s="85" t="s">
        <v>6262</v>
      </c>
      <c r="F656" s="86" t="s">
        <v>6262</v>
      </c>
      <c r="G656" s="85" t="s">
        <v>284</v>
      </c>
      <c r="H656" s="87"/>
    </row>
    <row r="657">
      <c r="A657" s="89">
        <v>7.2918388E7</v>
      </c>
      <c r="B657" s="84" t="s">
        <v>4794</v>
      </c>
      <c r="C657" s="85" t="s">
        <v>4797</v>
      </c>
      <c r="D657" s="86" t="s">
        <v>4797</v>
      </c>
      <c r="E657" s="85" t="s">
        <v>6263</v>
      </c>
      <c r="F657" s="86" t="s">
        <v>6263</v>
      </c>
      <c r="G657" s="85" t="s">
        <v>284</v>
      </c>
      <c r="H657" s="87"/>
    </row>
    <row r="658">
      <c r="A658" s="89">
        <v>7.2917329E7</v>
      </c>
      <c r="B658" s="84" t="s">
        <v>1157</v>
      </c>
      <c r="C658" s="85" t="s">
        <v>1160</v>
      </c>
      <c r="D658" s="86" t="s">
        <v>1160</v>
      </c>
      <c r="E658" s="85" t="s">
        <v>6264</v>
      </c>
      <c r="F658" s="86" t="s">
        <v>6264</v>
      </c>
      <c r="G658" s="85" t="s">
        <v>284</v>
      </c>
      <c r="H658" s="87"/>
    </row>
    <row r="659">
      <c r="A659" s="89">
        <v>7.290104068539E12</v>
      </c>
      <c r="B659" s="84" t="s">
        <v>2862</v>
      </c>
      <c r="C659" s="85" t="s">
        <v>2871</v>
      </c>
      <c r="D659" s="86" t="s">
        <v>2871</v>
      </c>
      <c r="E659" s="85" t="s">
        <v>6194</v>
      </c>
      <c r="F659" s="86" t="s">
        <v>6194</v>
      </c>
      <c r="G659" s="85" t="s">
        <v>284</v>
      </c>
      <c r="H659" s="87"/>
    </row>
    <row r="660">
      <c r="A660" s="89">
        <v>7.290102035007E12</v>
      </c>
      <c r="B660" s="84" t="s">
        <v>313</v>
      </c>
      <c r="C660" s="85" t="s">
        <v>308</v>
      </c>
      <c r="D660" s="86" t="s">
        <v>308</v>
      </c>
      <c r="E660" s="85" t="s">
        <v>6265</v>
      </c>
      <c r="F660" s="86" t="s">
        <v>6265</v>
      </c>
      <c r="G660" s="85" t="s">
        <v>284</v>
      </c>
      <c r="H660" s="87"/>
    </row>
    <row r="661">
      <c r="A661" s="89">
        <v>8750264.0</v>
      </c>
      <c r="B661" s="84" t="s">
        <v>2862</v>
      </c>
      <c r="C661" s="85" t="s">
        <v>2865</v>
      </c>
      <c r="D661" s="86" t="s">
        <v>2865</v>
      </c>
      <c r="E661" s="85" t="s">
        <v>6194</v>
      </c>
      <c r="F661" s="86" t="s">
        <v>6194</v>
      </c>
      <c r="G661" s="85" t="s">
        <v>284</v>
      </c>
      <c r="H661" s="87"/>
    </row>
    <row r="662">
      <c r="A662" s="89">
        <v>8754422.0</v>
      </c>
      <c r="B662" s="84" t="s">
        <v>2862</v>
      </c>
      <c r="C662" s="85" t="s">
        <v>2877</v>
      </c>
      <c r="D662" s="86" t="s">
        <v>2877</v>
      </c>
      <c r="E662" s="85" t="s">
        <v>6194</v>
      </c>
      <c r="F662" s="86" t="s">
        <v>6194</v>
      </c>
      <c r="G662" s="85" t="s">
        <v>284</v>
      </c>
      <c r="H662" s="87"/>
    </row>
    <row r="663">
      <c r="A663" s="89">
        <v>8754415.0</v>
      </c>
      <c r="B663" s="84" t="s">
        <v>2862</v>
      </c>
      <c r="C663" s="85" t="s">
        <v>2892</v>
      </c>
      <c r="D663" s="86" t="s">
        <v>2892</v>
      </c>
      <c r="E663" s="85" t="s">
        <v>6194</v>
      </c>
      <c r="F663" s="86" t="s">
        <v>6194</v>
      </c>
      <c r="G663" s="85" t="s">
        <v>284</v>
      </c>
      <c r="H663" s="87"/>
    </row>
    <row r="664">
      <c r="A664" s="89">
        <v>8.0050025E7</v>
      </c>
      <c r="B664" s="84" t="s">
        <v>4717</v>
      </c>
      <c r="C664" s="85" t="s">
        <v>4727</v>
      </c>
      <c r="D664" s="86" t="s">
        <v>4727</v>
      </c>
      <c r="E664" s="85" t="s">
        <v>6266</v>
      </c>
      <c r="F664" s="86" t="s">
        <v>6266</v>
      </c>
      <c r="G664" s="85" t="s">
        <v>284</v>
      </c>
      <c r="H664" s="87"/>
    </row>
    <row r="665">
      <c r="A665" s="89">
        <v>8.0050124E7</v>
      </c>
      <c r="B665" s="84" t="s">
        <v>4717</v>
      </c>
      <c r="C665" s="85" t="s">
        <v>4720</v>
      </c>
      <c r="D665" s="86" t="s">
        <v>4720</v>
      </c>
      <c r="E665" s="85" t="s">
        <v>6266</v>
      </c>
      <c r="F665" s="86" t="s">
        <v>6266</v>
      </c>
      <c r="G665" s="85" t="s">
        <v>284</v>
      </c>
      <c r="H665" s="87"/>
    </row>
    <row r="666">
      <c r="A666" s="89">
        <v>2752349.0</v>
      </c>
      <c r="B666" s="84" t="s">
        <v>2607</v>
      </c>
      <c r="C666" s="85" t="s">
        <v>2618</v>
      </c>
      <c r="D666" s="86" t="s">
        <v>2618</v>
      </c>
      <c r="E666" s="85" t="s">
        <v>6233</v>
      </c>
      <c r="F666" s="86" t="s">
        <v>6233</v>
      </c>
      <c r="G666" s="85" t="s">
        <v>284</v>
      </c>
      <c r="H666" s="87"/>
    </row>
    <row r="667">
      <c r="A667" s="89">
        <v>2752332.0</v>
      </c>
      <c r="B667" s="84" t="s">
        <v>2607</v>
      </c>
      <c r="C667" s="85" t="s">
        <v>2610</v>
      </c>
      <c r="D667" s="86" t="s">
        <v>2610</v>
      </c>
      <c r="E667" s="85" t="s">
        <v>6233</v>
      </c>
      <c r="F667" s="86" t="s">
        <v>6233</v>
      </c>
      <c r="G667" s="85" t="s">
        <v>284</v>
      </c>
      <c r="H667" s="87"/>
    </row>
    <row r="668">
      <c r="A668" s="89">
        <v>8.7311396E7</v>
      </c>
      <c r="B668" s="84" t="s">
        <v>2607</v>
      </c>
      <c r="C668" s="85" t="s">
        <v>2624</v>
      </c>
      <c r="D668" s="86" t="s">
        <v>2624</v>
      </c>
      <c r="E668" s="85" t="s">
        <v>6233</v>
      </c>
      <c r="F668" s="86" t="s">
        <v>6233</v>
      </c>
      <c r="G668" s="85" t="s">
        <v>284</v>
      </c>
      <c r="H668" s="87"/>
    </row>
    <row r="669">
      <c r="A669" s="89">
        <v>6.02652257834E11</v>
      </c>
      <c r="B669" s="84" t="s">
        <v>327</v>
      </c>
      <c r="C669" s="85" t="s">
        <v>331</v>
      </c>
      <c r="D669" s="86" t="s">
        <v>331</v>
      </c>
      <c r="E669" s="85" t="s">
        <v>6267</v>
      </c>
      <c r="F669" s="86" t="s">
        <v>6267</v>
      </c>
      <c r="G669" s="85" t="s">
        <v>284</v>
      </c>
      <c r="H669" s="87"/>
    </row>
    <row r="670">
      <c r="A670" s="89">
        <v>5.00015952832E12</v>
      </c>
      <c r="B670" s="84" t="s">
        <v>327</v>
      </c>
      <c r="C670" s="85" t="s">
        <v>324</v>
      </c>
      <c r="D670" s="86" t="s">
        <v>324</v>
      </c>
      <c r="E670" s="85" t="s">
        <v>6267</v>
      </c>
      <c r="F670" s="86" t="s">
        <v>6267</v>
      </c>
      <c r="G670" s="85" t="s">
        <v>284</v>
      </c>
      <c r="H670" s="87"/>
    </row>
    <row r="671">
      <c r="A671" s="89">
        <v>6.02652176753E11</v>
      </c>
      <c r="B671" s="84" t="s">
        <v>327</v>
      </c>
      <c r="C671" s="85" t="s">
        <v>6013</v>
      </c>
      <c r="D671" s="86" t="s">
        <v>6013</v>
      </c>
      <c r="E671" s="85" t="s">
        <v>6267</v>
      </c>
      <c r="F671" s="86" t="s">
        <v>6267</v>
      </c>
      <c r="G671" s="85" t="s">
        <v>284</v>
      </c>
      <c r="H671" s="87"/>
    </row>
    <row r="672">
      <c r="A672" s="89">
        <v>1.6000507777E10</v>
      </c>
      <c r="B672" s="84" t="s">
        <v>992</v>
      </c>
      <c r="C672" s="85" t="s">
        <v>1002</v>
      </c>
      <c r="D672" s="86" t="s">
        <v>1002</v>
      </c>
      <c r="E672" s="85" t="s">
        <v>6268</v>
      </c>
      <c r="F672" s="86" t="s">
        <v>6269</v>
      </c>
      <c r="G672" s="85" t="s">
        <v>284</v>
      </c>
      <c r="H672" s="87"/>
    </row>
    <row r="673">
      <c r="A673" s="89">
        <v>1.6000548497E10</v>
      </c>
      <c r="B673" s="84" t="s">
        <v>992</v>
      </c>
      <c r="C673" s="85" t="s">
        <v>989</v>
      </c>
      <c r="D673" s="86" t="s">
        <v>989</v>
      </c>
      <c r="E673" s="85" t="s">
        <v>6268</v>
      </c>
      <c r="F673" s="86" t="s">
        <v>6269</v>
      </c>
      <c r="G673" s="85" t="s">
        <v>284</v>
      </c>
      <c r="H673" s="87"/>
    </row>
    <row r="674">
      <c r="A674" s="89">
        <v>1.6000548596E10</v>
      </c>
      <c r="B674" s="84" t="s">
        <v>992</v>
      </c>
      <c r="C674" s="85" t="s">
        <v>996</v>
      </c>
      <c r="D674" s="86" t="s">
        <v>996</v>
      </c>
      <c r="E674" s="85" t="s">
        <v>6268</v>
      </c>
      <c r="F674" s="86" t="s">
        <v>6269</v>
      </c>
      <c r="G674" s="85" t="s">
        <v>284</v>
      </c>
      <c r="H674" s="87"/>
    </row>
    <row r="675">
      <c r="A675" s="89">
        <v>3145768.0</v>
      </c>
      <c r="B675" s="84" t="s">
        <v>6270</v>
      </c>
      <c r="C675" s="85" t="s">
        <v>2291</v>
      </c>
      <c r="D675" s="86" t="s">
        <v>2291</v>
      </c>
      <c r="E675" s="85" t="s">
        <v>6271</v>
      </c>
      <c r="F675" s="86" t="s">
        <v>6271</v>
      </c>
      <c r="G675" s="85" t="s">
        <v>284</v>
      </c>
      <c r="H675" s="87"/>
    </row>
    <row r="676">
      <c r="A676" s="89">
        <v>7.29001011797E12</v>
      </c>
      <c r="B676" s="84" t="s">
        <v>4014</v>
      </c>
      <c r="C676" s="85" t="s">
        <v>4017</v>
      </c>
      <c r="D676" s="86" t="s">
        <v>4017</v>
      </c>
      <c r="E676" s="85" t="s">
        <v>6272</v>
      </c>
      <c r="F676" s="86" t="s">
        <v>6271</v>
      </c>
      <c r="G676" s="85" t="s">
        <v>284</v>
      </c>
      <c r="H676" s="87"/>
    </row>
    <row r="677">
      <c r="A677" s="89">
        <v>7.290106653504E12</v>
      </c>
      <c r="B677" s="84" t="s">
        <v>4014</v>
      </c>
      <c r="C677" s="85" t="s">
        <v>4023</v>
      </c>
      <c r="D677" s="86" t="s">
        <v>4023</v>
      </c>
      <c r="E677" s="85" t="s">
        <v>6272</v>
      </c>
      <c r="F677" s="86" t="s">
        <v>6271</v>
      </c>
      <c r="G677" s="85" t="s">
        <v>284</v>
      </c>
      <c r="H677" s="87"/>
    </row>
    <row r="678">
      <c r="A678" s="89">
        <v>3423909.0</v>
      </c>
      <c r="B678" s="84" t="s">
        <v>6273</v>
      </c>
      <c r="C678" s="85" t="s">
        <v>6014</v>
      </c>
      <c r="D678" s="86" t="s">
        <v>6014</v>
      </c>
      <c r="E678" s="85" t="s">
        <v>6274</v>
      </c>
      <c r="F678" s="86" t="s">
        <v>6274</v>
      </c>
      <c r="G678" s="85" t="s">
        <v>284</v>
      </c>
      <c r="H678" s="87"/>
    </row>
    <row r="679">
      <c r="A679" s="89">
        <v>3444009.0</v>
      </c>
      <c r="B679" s="84" t="s">
        <v>6275</v>
      </c>
      <c r="C679" s="85" t="s">
        <v>6015</v>
      </c>
      <c r="D679" s="86" t="s">
        <v>6015</v>
      </c>
      <c r="E679" s="85" t="s">
        <v>6276</v>
      </c>
      <c r="F679" s="86" t="s">
        <v>6276</v>
      </c>
      <c r="G679" s="85" t="s">
        <v>284</v>
      </c>
      <c r="H679" s="87"/>
    </row>
    <row r="680">
      <c r="A680" s="89">
        <v>8.0001287E7</v>
      </c>
      <c r="B680" s="84" t="s">
        <v>2380</v>
      </c>
      <c r="C680" s="85" t="s">
        <v>6016</v>
      </c>
      <c r="D680" s="86" t="s">
        <v>6016</v>
      </c>
      <c r="E680" s="85" t="s">
        <v>6277</v>
      </c>
      <c r="F680" s="86" t="s">
        <v>6278</v>
      </c>
      <c r="G680" s="85" t="s">
        <v>284</v>
      </c>
      <c r="H680" s="87"/>
    </row>
    <row r="681">
      <c r="A681" s="89">
        <v>8.0001485E7</v>
      </c>
      <c r="B681" s="84" t="s">
        <v>2380</v>
      </c>
      <c r="C681" s="85" t="s">
        <v>2377</v>
      </c>
      <c r="D681" s="86" t="s">
        <v>2377</v>
      </c>
      <c r="E681" s="85" t="s">
        <v>6277</v>
      </c>
      <c r="F681" s="86" t="s">
        <v>6278</v>
      </c>
      <c r="G681" s="85" t="s">
        <v>284</v>
      </c>
      <c r="H681" s="87"/>
    </row>
    <row r="682">
      <c r="A682" s="89">
        <v>8.0001461E7</v>
      </c>
      <c r="B682" s="84" t="s">
        <v>2380</v>
      </c>
      <c r="C682" s="85" t="s">
        <v>2390</v>
      </c>
      <c r="D682" s="86" t="s">
        <v>2390</v>
      </c>
      <c r="E682" s="85" t="s">
        <v>6277</v>
      </c>
      <c r="F682" s="86" t="s">
        <v>6278</v>
      </c>
      <c r="G682" s="85" t="s">
        <v>284</v>
      </c>
      <c r="H682" s="87"/>
    </row>
    <row r="683">
      <c r="A683" s="89">
        <v>8.0001027E7</v>
      </c>
      <c r="B683" s="84" t="s">
        <v>2448</v>
      </c>
      <c r="C683" s="85" t="s">
        <v>2445</v>
      </c>
      <c r="D683" s="86" t="s">
        <v>2445</v>
      </c>
      <c r="E683" s="85" t="s">
        <v>6279</v>
      </c>
      <c r="F683" s="86" t="s">
        <v>6279</v>
      </c>
      <c r="G683" s="85" t="s">
        <v>284</v>
      </c>
      <c r="H683" s="87"/>
    </row>
    <row r="684">
      <c r="A684" s="89">
        <v>161648.0</v>
      </c>
      <c r="B684" s="84" t="s">
        <v>756</v>
      </c>
      <c r="C684" s="85" t="s">
        <v>766</v>
      </c>
      <c r="D684" s="86" t="s">
        <v>766</v>
      </c>
      <c r="E684" s="85" t="s">
        <v>6280</v>
      </c>
      <c r="F684" s="86" t="s">
        <v>6238</v>
      </c>
      <c r="G684" s="85" t="s">
        <v>284</v>
      </c>
      <c r="H684" s="87"/>
    </row>
    <row r="685">
      <c r="A685" s="89">
        <v>161631.0</v>
      </c>
      <c r="B685" s="84" t="s">
        <v>756</v>
      </c>
      <c r="C685" s="85" t="s">
        <v>778</v>
      </c>
      <c r="D685" s="86" t="s">
        <v>778</v>
      </c>
      <c r="E685" s="85" t="s">
        <v>6280</v>
      </c>
      <c r="F685" s="86" t="s">
        <v>6238</v>
      </c>
      <c r="G685" s="85" t="s">
        <v>284</v>
      </c>
      <c r="H685" s="87"/>
    </row>
    <row r="686">
      <c r="A686" s="89">
        <v>7.290112497918E12</v>
      </c>
      <c r="B686" s="84" t="s">
        <v>756</v>
      </c>
      <c r="C686" s="85" t="s">
        <v>784</v>
      </c>
      <c r="D686" s="86" t="s">
        <v>784</v>
      </c>
      <c r="E686" s="85" t="s">
        <v>6280</v>
      </c>
      <c r="F686" s="86" t="s">
        <v>6238</v>
      </c>
      <c r="G686" s="85" t="s">
        <v>284</v>
      </c>
      <c r="H686" s="87"/>
    </row>
    <row r="687">
      <c r="A687" s="89">
        <v>7.290112497901E12</v>
      </c>
      <c r="B687" s="84" t="s">
        <v>756</v>
      </c>
      <c r="C687" s="85" t="s">
        <v>790</v>
      </c>
      <c r="D687" s="86" t="s">
        <v>790</v>
      </c>
      <c r="E687" s="85" t="s">
        <v>6280</v>
      </c>
      <c r="F687" s="86" t="s">
        <v>6238</v>
      </c>
      <c r="G687" s="85" t="s">
        <v>284</v>
      </c>
      <c r="H687" s="87"/>
    </row>
    <row r="688">
      <c r="A688" s="89">
        <v>7.2909799E7</v>
      </c>
      <c r="B688" s="84" t="s">
        <v>756</v>
      </c>
      <c r="C688" s="85" t="s">
        <v>753</v>
      </c>
      <c r="D688" s="86" t="s">
        <v>753</v>
      </c>
      <c r="E688" s="85" t="s">
        <v>6280</v>
      </c>
      <c r="F688" s="86" t="s">
        <v>6238</v>
      </c>
      <c r="G688" s="85" t="s">
        <v>284</v>
      </c>
      <c r="H688" s="87"/>
    </row>
    <row r="689">
      <c r="A689" s="89">
        <v>7.290112348241E12</v>
      </c>
      <c r="B689" s="84" t="s">
        <v>3392</v>
      </c>
      <c r="C689" s="85" t="s">
        <v>3435</v>
      </c>
      <c r="D689" s="86" t="s">
        <v>3435</v>
      </c>
      <c r="E689" s="85" t="s">
        <v>6281</v>
      </c>
      <c r="F689" s="86" t="s">
        <v>6281</v>
      </c>
      <c r="G689" s="85" t="s">
        <v>284</v>
      </c>
      <c r="H689" s="87"/>
    </row>
    <row r="690">
      <c r="A690" s="89">
        <v>7.29011235035E12</v>
      </c>
      <c r="B690" s="84" t="s">
        <v>3392</v>
      </c>
      <c r="C690" s="85" t="s">
        <v>3429</v>
      </c>
      <c r="D690" s="86" t="s">
        <v>3429</v>
      </c>
      <c r="E690" s="85" t="s">
        <v>6281</v>
      </c>
      <c r="F690" s="86" t="s">
        <v>6281</v>
      </c>
      <c r="G690" s="85" t="s">
        <v>284</v>
      </c>
      <c r="H690" s="87"/>
    </row>
    <row r="691">
      <c r="A691" s="89">
        <v>7.290112348234E12</v>
      </c>
      <c r="B691" s="84" t="s">
        <v>3392</v>
      </c>
      <c r="C691" s="85" t="s">
        <v>3389</v>
      </c>
      <c r="D691" s="86" t="s">
        <v>3389</v>
      </c>
      <c r="E691" s="85" t="s">
        <v>6281</v>
      </c>
      <c r="F691" s="86" t="s">
        <v>6281</v>
      </c>
      <c r="G691" s="85" t="s">
        <v>284</v>
      </c>
      <c r="H691" s="87"/>
    </row>
    <row r="692">
      <c r="A692" s="89">
        <v>7.2992357E7</v>
      </c>
      <c r="B692" s="84" t="s">
        <v>3392</v>
      </c>
      <c r="C692" s="85" t="s">
        <v>3396</v>
      </c>
      <c r="D692" s="86" t="s">
        <v>3396</v>
      </c>
      <c r="E692" s="85" t="s">
        <v>6281</v>
      </c>
      <c r="F692" s="86" t="s">
        <v>6281</v>
      </c>
      <c r="G692" s="85" t="s">
        <v>284</v>
      </c>
      <c r="H692" s="87"/>
    </row>
    <row r="693">
      <c r="A693" s="89">
        <v>7.2917893E7</v>
      </c>
      <c r="B693" s="84" t="s">
        <v>3392</v>
      </c>
      <c r="C693" s="85" t="s">
        <v>3411</v>
      </c>
      <c r="D693" s="86" t="s">
        <v>3411</v>
      </c>
      <c r="E693" s="85" t="s">
        <v>6281</v>
      </c>
      <c r="F693" s="86" t="s">
        <v>6281</v>
      </c>
      <c r="G693" s="85" t="s">
        <v>284</v>
      </c>
      <c r="H693" s="87"/>
    </row>
    <row r="694">
      <c r="A694" s="89">
        <v>7.290112358004E12</v>
      </c>
      <c r="B694" s="84" t="s">
        <v>3392</v>
      </c>
      <c r="C694" s="85" t="s">
        <v>3423</v>
      </c>
      <c r="D694" s="86" t="s">
        <v>3423</v>
      </c>
      <c r="E694" s="85" t="s">
        <v>6281</v>
      </c>
      <c r="F694" s="86" t="s">
        <v>6281</v>
      </c>
      <c r="G694" s="85" t="s">
        <v>284</v>
      </c>
      <c r="H694" s="87"/>
    </row>
    <row r="695">
      <c r="A695" s="89">
        <v>7.2994061E7</v>
      </c>
      <c r="B695" s="84" t="s">
        <v>3392</v>
      </c>
      <c r="C695" s="85" t="s">
        <v>3417</v>
      </c>
      <c r="D695" s="86" t="s">
        <v>3417</v>
      </c>
      <c r="E695" s="85" t="s">
        <v>6281</v>
      </c>
      <c r="F695" s="86" t="s">
        <v>6281</v>
      </c>
      <c r="G695" s="85" t="s">
        <v>284</v>
      </c>
      <c r="H695" s="87"/>
    </row>
    <row r="696">
      <c r="A696" s="89">
        <v>7.610046000808E12</v>
      </c>
      <c r="B696" s="84" t="s">
        <v>2023</v>
      </c>
      <c r="C696" s="85" t="s">
        <v>2026</v>
      </c>
      <c r="D696" s="86" t="s">
        <v>2026</v>
      </c>
      <c r="E696" s="85" t="s">
        <v>6282</v>
      </c>
      <c r="F696" s="86" t="s">
        <v>6282</v>
      </c>
      <c r="G696" s="85" t="s">
        <v>284</v>
      </c>
      <c r="H696" s="87"/>
    </row>
    <row r="697">
      <c r="A697" s="89">
        <v>7.610046000822E12</v>
      </c>
      <c r="B697" s="84" t="s">
        <v>2023</v>
      </c>
      <c r="C697" s="85" t="s">
        <v>2034</v>
      </c>
      <c r="D697" s="86" t="s">
        <v>2034</v>
      </c>
      <c r="E697" s="85" t="s">
        <v>6282</v>
      </c>
      <c r="F697" s="86" t="s">
        <v>6282</v>
      </c>
      <c r="G697" s="85" t="s">
        <v>284</v>
      </c>
      <c r="H697" s="87"/>
    </row>
    <row r="698">
      <c r="A698" s="89">
        <v>8.69012006017E12</v>
      </c>
      <c r="B698" s="84" t="s">
        <v>3157</v>
      </c>
      <c r="C698" s="85" t="s">
        <v>3154</v>
      </c>
      <c r="D698" s="86" t="s">
        <v>3154</v>
      </c>
      <c r="E698" s="85" t="s">
        <v>6283</v>
      </c>
      <c r="F698" s="86" t="s">
        <v>6283</v>
      </c>
      <c r="G698" s="85" t="s">
        <v>284</v>
      </c>
      <c r="H698" s="87"/>
    </row>
    <row r="699">
      <c r="A699" s="89">
        <v>3.800020491393E12</v>
      </c>
      <c r="B699" s="84" t="s">
        <v>2177</v>
      </c>
      <c r="C699" s="85" t="s">
        <v>2181</v>
      </c>
      <c r="D699" s="86" t="s">
        <v>2181</v>
      </c>
      <c r="E699" s="85" t="s">
        <v>6284</v>
      </c>
      <c r="F699" s="86" t="s">
        <v>6284</v>
      </c>
      <c r="G699" s="85" t="s">
        <v>284</v>
      </c>
      <c r="H699" s="87"/>
    </row>
    <row r="700">
      <c r="A700" s="89">
        <v>3.800020423578E12</v>
      </c>
      <c r="B700" s="84" t="s">
        <v>2177</v>
      </c>
      <c r="C700" s="85" t="s">
        <v>2187</v>
      </c>
      <c r="D700" s="86" t="s">
        <v>2187</v>
      </c>
      <c r="E700" s="85" t="s">
        <v>6284</v>
      </c>
      <c r="F700" s="86" t="s">
        <v>6284</v>
      </c>
      <c r="G700" s="85" t="s">
        <v>284</v>
      </c>
      <c r="H700" s="87"/>
    </row>
    <row r="701">
      <c r="A701" s="89">
        <v>4.0052403E7</v>
      </c>
      <c r="B701" s="84" t="s">
        <v>2177</v>
      </c>
      <c r="C701" s="85" t="s">
        <v>2174</v>
      </c>
      <c r="D701" s="86" t="s">
        <v>2174</v>
      </c>
      <c r="E701" s="85" t="s">
        <v>6284</v>
      </c>
      <c r="F701" s="86" t="s">
        <v>6284</v>
      </c>
      <c r="G701" s="85" t="s">
        <v>284</v>
      </c>
      <c r="H701" s="87"/>
    </row>
    <row r="702">
      <c r="A702" s="89">
        <v>3.80002041813E12</v>
      </c>
      <c r="B702" s="84" t="s">
        <v>2177</v>
      </c>
      <c r="C702" s="85" t="s">
        <v>2193</v>
      </c>
      <c r="D702" s="86" t="s">
        <v>2193</v>
      </c>
      <c r="E702" s="85" t="s">
        <v>6284</v>
      </c>
      <c r="F702" s="86" t="s">
        <v>6284</v>
      </c>
      <c r="G702" s="85" t="s">
        <v>284</v>
      </c>
      <c r="H702" s="87"/>
    </row>
    <row r="703">
      <c r="A703" s="89">
        <v>7.290106525399E12</v>
      </c>
      <c r="B703" s="84" t="s">
        <v>1226</v>
      </c>
      <c r="C703" s="85" t="s">
        <v>1231</v>
      </c>
      <c r="D703" s="86" t="s">
        <v>1231</v>
      </c>
      <c r="E703" s="85" t="s">
        <v>6285</v>
      </c>
      <c r="F703" s="86" t="s">
        <v>6285</v>
      </c>
      <c r="G703" s="85" t="s">
        <v>55</v>
      </c>
      <c r="H703" s="87"/>
    </row>
    <row r="704">
      <c r="A704" s="89">
        <v>7.290110566623E12</v>
      </c>
      <c r="B704" s="84" t="s">
        <v>1226</v>
      </c>
      <c r="C704" s="85" t="s">
        <v>1221</v>
      </c>
      <c r="D704" s="86" t="s">
        <v>1221</v>
      </c>
      <c r="E704" s="85" t="s">
        <v>6285</v>
      </c>
      <c r="F704" s="86" t="s">
        <v>6285</v>
      </c>
      <c r="G704" s="85" t="s">
        <v>55</v>
      </c>
      <c r="H704" s="87"/>
    </row>
    <row r="705">
      <c r="A705" s="89">
        <v>7.290105360328E12</v>
      </c>
      <c r="B705" s="84" t="s">
        <v>1226</v>
      </c>
      <c r="C705" s="85" t="s">
        <v>1271</v>
      </c>
      <c r="D705" s="86" t="s">
        <v>1271</v>
      </c>
      <c r="E705" s="85" t="s">
        <v>6285</v>
      </c>
      <c r="F705" s="86" t="s">
        <v>6285</v>
      </c>
      <c r="G705" s="85" t="s">
        <v>55</v>
      </c>
      <c r="H705" s="87"/>
    </row>
    <row r="706">
      <c r="A706" s="89">
        <v>7.290107956932E12</v>
      </c>
      <c r="B706" s="84" t="s">
        <v>1226</v>
      </c>
      <c r="C706" s="85" t="s">
        <v>1238</v>
      </c>
      <c r="D706" s="86" t="s">
        <v>1238</v>
      </c>
      <c r="E706" s="85" t="s">
        <v>6285</v>
      </c>
      <c r="F706" s="86" t="s">
        <v>6285</v>
      </c>
      <c r="G706" s="85" t="s">
        <v>55</v>
      </c>
      <c r="H706" s="87"/>
    </row>
    <row r="707">
      <c r="A707" s="89">
        <v>7.290014066373E12</v>
      </c>
      <c r="B707" s="84" t="s">
        <v>2350</v>
      </c>
      <c r="C707" s="85" t="s">
        <v>2355</v>
      </c>
      <c r="D707" s="86" t="s">
        <v>2355</v>
      </c>
      <c r="E707" s="85" t="s">
        <v>6286</v>
      </c>
      <c r="F707" s="86" t="s">
        <v>6286</v>
      </c>
      <c r="G707" s="85" t="s">
        <v>55</v>
      </c>
      <c r="H707" s="87"/>
    </row>
    <row r="708">
      <c r="A708" s="89">
        <v>7.29001406638E12</v>
      </c>
      <c r="B708" s="84" t="s">
        <v>2350</v>
      </c>
      <c r="C708" s="85" t="s">
        <v>2347</v>
      </c>
      <c r="D708" s="86" t="s">
        <v>2347</v>
      </c>
      <c r="E708" s="85" t="s">
        <v>6286</v>
      </c>
      <c r="F708" s="86" t="s">
        <v>6286</v>
      </c>
      <c r="G708" s="85" t="s">
        <v>55</v>
      </c>
      <c r="H708" s="87"/>
    </row>
    <row r="709">
      <c r="A709" s="89">
        <v>8.003753158556E12</v>
      </c>
      <c r="B709" s="84" t="s">
        <v>1256</v>
      </c>
      <c r="C709" s="85" t="s">
        <v>1253</v>
      </c>
      <c r="D709" s="86" t="s">
        <v>1253</v>
      </c>
      <c r="E709" s="85" t="s">
        <v>6287</v>
      </c>
      <c r="F709" s="86" t="s">
        <v>6287</v>
      </c>
      <c r="G709" s="85" t="s">
        <v>55</v>
      </c>
      <c r="H709" s="87"/>
    </row>
    <row r="710">
      <c r="A710" s="89">
        <v>8.003753158587E12</v>
      </c>
      <c r="B710" s="84" t="s">
        <v>1256</v>
      </c>
      <c r="C710" s="85" t="s">
        <v>1909</v>
      </c>
      <c r="D710" s="86" t="s">
        <v>1909</v>
      </c>
      <c r="E710" s="85" t="s">
        <v>6287</v>
      </c>
      <c r="F710" s="86" t="s">
        <v>6287</v>
      </c>
      <c r="G710" s="85" t="s">
        <v>55</v>
      </c>
      <c r="H710" s="87"/>
    </row>
    <row r="711">
      <c r="A711" s="89">
        <v>345260.0</v>
      </c>
      <c r="B711" s="84" t="s">
        <v>6288</v>
      </c>
      <c r="C711" s="85" t="s">
        <v>4891</v>
      </c>
      <c r="D711" s="86" t="s">
        <v>4891</v>
      </c>
      <c r="E711" s="85" t="s">
        <v>6289</v>
      </c>
      <c r="F711" s="86" t="s">
        <v>6289</v>
      </c>
      <c r="G711" s="85" t="s">
        <v>55</v>
      </c>
      <c r="H711" s="87"/>
    </row>
    <row r="712">
      <c r="A712" s="89">
        <v>347738.0</v>
      </c>
      <c r="B712" s="84" t="s">
        <v>6288</v>
      </c>
      <c r="C712" s="85" t="s">
        <v>4906</v>
      </c>
      <c r="D712" s="86" t="s">
        <v>4906</v>
      </c>
      <c r="E712" s="85" t="s">
        <v>6289</v>
      </c>
      <c r="F712" s="86" t="s">
        <v>6289</v>
      </c>
      <c r="G712" s="85" t="s">
        <v>55</v>
      </c>
      <c r="H712" s="87"/>
    </row>
    <row r="713">
      <c r="A713" s="89">
        <v>347752.0</v>
      </c>
      <c r="B713" s="84" t="s">
        <v>6288</v>
      </c>
      <c r="C713" s="85" t="s">
        <v>4899</v>
      </c>
      <c r="D713" s="86" t="s">
        <v>4899</v>
      </c>
      <c r="E713" s="85" t="s">
        <v>6289</v>
      </c>
      <c r="F713" s="86" t="s">
        <v>6289</v>
      </c>
      <c r="G713" s="85" t="s">
        <v>55</v>
      </c>
      <c r="H713" s="87"/>
    </row>
    <row r="714">
      <c r="A714" s="89">
        <v>174723.0</v>
      </c>
      <c r="B714" s="84" t="s">
        <v>6290</v>
      </c>
      <c r="C714" s="85" t="s">
        <v>1168</v>
      </c>
      <c r="D714" s="86" t="s">
        <v>1168</v>
      </c>
      <c r="E714" s="85" t="s">
        <v>6291</v>
      </c>
      <c r="F714" s="86" t="s">
        <v>6291</v>
      </c>
      <c r="G714" s="85" t="s">
        <v>55</v>
      </c>
      <c r="H714" s="87"/>
    </row>
    <row r="715">
      <c r="A715" s="89">
        <v>8.714599513828E12</v>
      </c>
      <c r="B715" s="84" t="s">
        <v>1948</v>
      </c>
      <c r="C715" s="85" t="s">
        <v>1944</v>
      </c>
      <c r="D715" s="86" t="s">
        <v>1944</v>
      </c>
      <c r="E715" s="85" t="s">
        <v>6292</v>
      </c>
      <c r="F715" s="86" t="s">
        <v>6292</v>
      </c>
      <c r="G715" s="85" t="s">
        <v>55</v>
      </c>
      <c r="H715" s="87"/>
    </row>
    <row r="716">
      <c r="A716" s="89">
        <v>7.290112344427E12</v>
      </c>
      <c r="B716" s="84" t="s">
        <v>1266</v>
      </c>
      <c r="C716" s="85" t="s">
        <v>1261</v>
      </c>
      <c r="D716" s="86" t="s">
        <v>1261</v>
      </c>
      <c r="E716" s="85" t="s">
        <v>6293</v>
      </c>
      <c r="F716" s="86" t="s">
        <v>6293</v>
      </c>
      <c r="G716" s="85" t="s">
        <v>55</v>
      </c>
      <c r="H716" s="87"/>
    </row>
    <row r="717">
      <c r="A717" s="89">
        <v>176420.0</v>
      </c>
      <c r="B717" s="84" t="s">
        <v>1266</v>
      </c>
      <c r="C717" s="85" t="s">
        <v>1278</v>
      </c>
      <c r="D717" s="86" t="s">
        <v>1278</v>
      </c>
      <c r="E717" s="85" t="s">
        <v>6293</v>
      </c>
      <c r="F717" s="86" t="s">
        <v>6293</v>
      </c>
      <c r="G717" s="85" t="s">
        <v>55</v>
      </c>
      <c r="H717" s="87"/>
    </row>
    <row r="718">
      <c r="A718" s="89">
        <v>72753.0</v>
      </c>
      <c r="B718" s="84" t="s">
        <v>6294</v>
      </c>
      <c r="C718" s="85" t="s">
        <v>4712</v>
      </c>
      <c r="D718" s="86" t="s">
        <v>4712</v>
      </c>
      <c r="E718" s="85" t="s">
        <v>6295</v>
      </c>
      <c r="F718" s="86" t="s">
        <v>6295</v>
      </c>
      <c r="G718" s="85" t="s">
        <v>55</v>
      </c>
      <c r="H718" s="87"/>
    </row>
    <row r="719">
      <c r="A719" s="89">
        <v>2771111.0</v>
      </c>
      <c r="B719" s="84" t="s">
        <v>6296</v>
      </c>
      <c r="C719" s="85" t="s">
        <v>50</v>
      </c>
      <c r="D719" s="86" t="s">
        <v>50</v>
      </c>
      <c r="E719" s="85" t="s">
        <v>6297</v>
      </c>
      <c r="F719" s="86" t="s">
        <v>6297</v>
      </c>
      <c r="G719" s="85" t="s">
        <v>55</v>
      </c>
      <c r="H719" s="87"/>
    </row>
    <row r="720">
      <c r="A720" s="89">
        <v>176062.0</v>
      </c>
      <c r="B720" s="84" t="s">
        <v>1248</v>
      </c>
      <c r="C720" s="85" t="s">
        <v>1285</v>
      </c>
      <c r="D720" s="86" t="s">
        <v>1285</v>
      </c>
      <c r="E720" s="85" t="s">
        <v>6298</v>
      </c>
      <c r="F720" s="86" t="s">
        <v>6298</v>
      </c>
      <c r="G720" s="85" t="s">
        <v>55</v>
      </c>
      <c r="H720" s="87"/>
    </row>
    <row r="721">
      <c r="A721" s="89">
        <v>7.290107953559E12</v>
      </c>
      <c r="B721" s="84" t="s">
        <v>1248</v>
      </c>
      <c r="C721" s="85" t="s">
        <v>1245</v>
      </c>
      <c r="D721" s="86" t="s">
        <v>1245</v>
      </c>
      <c r="E721" s="85" t="s">
        <v>6298</v>
      </c>
      <c r="F721" s="86" t="s">
        <v>6298</v>
      </c>
      <c r="G721" s="85" t="s">
        <v>55</v>
      </c>
      <c r="H721" s="87"/>
    </row>
    <row r="722">
      <c r="A722" s="89">
        <v>5201882.0</v>
      </c>
      <c r="B722" s="84" t="s">
        <v>1248</v>
      </c>
      <c r="C722" s="85" t="s">
        <v>1293</v>
      </c>
      <c r="D722" s="86" t="s">
        <v>1293</v>
      </c>
      <c r="E722" s="85" t="s">
        <v>6298</v>
      </c>
      <c r="F722" s="86" t="s">
        <v>6298</v>
      </c>
      <c r="G722" s="85" t="s">
        <v>55</v>
      </c>
      <c r="H722" s="87"/>
    </row>
    <row r="723">
      <c r="A723" s="89">
        <v>3643387.0</v>
      </c>
      <c r="B723" s="84" t="s">
        <v>6299</v>
      </c>
      <c r="C723" s="85" t="s">
        <v>4530</v>
      </c>
      <c r="D723" s="86" t="s">
        <v>4530</v>
      </c>
      <c r="E723" s="85" t="s">
        <v>6300</v>
      </c>
      <c r="F723" s="86" t="s">
        <v>6300</v>
      </c>
      <c r="G723" s="85" t="s">
        <v>55</v>
      </c>
      <c r="H723" s="87"/>
    </row>
  </sheetData>
  <autoFilter ref="$A$1:$H$72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56.71"/>
    <col customWidth="1" min="3" max="5" width="11.14"/>
    <col customWidth="1" min="6" max="6" width="19.0"/>
    <col customWidth="1" min="7" max="7" width="17.86"/>
    <col customWidth="1" min="8" max="9" width="22.0"/>
    <col customWidth="1" min="10" max="10" width="36.29"/>
    <col customWidth="1" min="11" max="11" width="53.29"/>
    <col customWidth="1" min="12" max="12" width="76.29"/>
    <col customWidth="1" min="13" max="13" width="20.29"/>
    <col customWidth="1" min="14" max="14" width="29.86"/>
    <col customWidth="1" min="15" max="15" width="14.86"/>
    <col customWidth="1" min="16" max="16" width="9.29"/>
    <col customWidth="1" min="17" max="17" width="25.29"/>
  </cols>
  <sheetData>
    <row r="1">
      <c r="A1" s="96" t="s">
        <v>0</v>
      </c>
      <c r="B1" s="97" t="s">
        <v>1</v>
      </c>
      <c r="C1" s="96" t="s">
        <v>2</v>
      </c>
      <c r="D1" s="96" t="s">
        <v>3</v>
      </c>
      <c r="E1" s="96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97" t="s">
        <v>10</v>
      </c>
      <c r="K1" s="97" t="s">
        <v>6301</v>
      </c>
      <c r="L1" s="98" t="s">
        <v>12</v>
      </c>
      <c r="M1" s="99" t="s">
        <v>14</v>
      </c>
      <c r="N1" s="99" t="s">
        <v>15</v>
      </c>
      <c r="O1" s="98" t="s">
        <v>16</v>
      </c>
      <c r="P1" s="99" t="s">
        <v>17</v>
      </c>
      <c r="Q1" s="100" t="s">
        <v>18</v>
      </c>
      <c r="R1" s="101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</row>
    <row r="2">
      <c r="A2" s="103">
        <v>7.290107937597E12</v>
      </c>
      <c r="B2" s="104" t="str">
        <f t="shared" ref="B2:B718" si="1">CONCATENATE(SUBSTITUTE(I2," ","-"), "_", K2)</f>
        <v>a-quarter-to-seven_Nuts snack quarter to seven</v>
      </c>
      <c r="C2" s="105">
        <v>0.16</v>
      </c>
      <c r="D2" s="105">
        <v>0.05</v>
      </c>
      <c r="E2" s="105">
        <v>0.03</v>
      </c>
      <c r="F2" s="106">
        <f>ROUND('Meta data'!$B$1/E2,0)</f>
        <v>10</v>
      </c>
      <c r="G2" s="107"/>
      <c r="H2" s="105" t="s">
        <v>3952</v>
      </c>
      <c r="I2" s="105" t="str">
        <f>IFERROR(__xludf.DUMMYFUNCTION("GOOGLETRANSLATE(H2,""he"",""en"")"),"a quarter to seven")</f>
        <v>a quarter to seven</v>
      </c>
      <c r="J2" s="105" t="s">
        <v>3967</v>
      </c>
      <c r="K2" s="105" t="str">
        <f>IFERROR(__xludf.DUMMYFUNCTION("GOOGLETRANSLATE(J2,""he"",""en"")"),"Nuts snack quarter to seven")</f>
        <v>Nuts snack quarter to seven</v>
      </c>
      <c r="L2" s="104" t="s">
        <v>3971</v>
      </c>
      <c r="M2" s="105" t="s">
        <v>6302</v>
      </c>
      <c r="N2" s="108" t="s">
        <v>6303</v>
      </c>
      <c r="O2" s="109"/>
      <c r="P2" s="109"/>
      <c r="Q2" s="110" t="s">
        <v>3970</v>
      </c>
      <c r="R2" s="111"/>
      <c r="S2" s="112"/>
      <c r="T2" s="112"/>
      <c r="U2" s="102"/>
      <c r="V2" s="102"/>
      <c r="W2" s="102"/>
      <c r="X2" s="102"/>
      <c r="Y2" s="102"/>
      <c r="Z2" s="102"/>
      <c r="AA2" s="102"/>
      <c r="AB2" s="102"/>
      <c r="AC2" s="113"/>
      <c r="AD2" s="113"/>
      <c r="AE2" s="113"/>
    </row>
    <row r="3">
      <c r="A3" s="114">
        <v>7.290106520066E12</v>
      </c>
      <c r="B3" s="104" t="str">
        <f t="shared" si="1"/>
        <v>a-quarter-to-seven_Wafer rolls quarter to seven in chocolate milk</v>
      </c>
      <c r="C3" s="105">
        <v>0.26</v>
      </c>
      <c r="D3" s="105">
        <v>0.09</v>
      </c>
      <c r="E3" s="105">
        <v>0.03</v>
      </c>
      <c r="F3" s="106">
        <f>ROUND('Meta data'!$B$1/E3,0)</f>
        <v>10</v>
      </c>
      <c r="G3" s="107"/>
      <c r="H3" s="105" t="s">
        <v>3952</v>
      </c>
      <c r="I3" s="105" t="str">
        <f>IFERROR(__xludf.DUMMYFUNCTION("GOOGLETRANSLATE(H3,""he"",""en"")"),"a quarter to seven")</f>
        <v>a quarter to seven</v>
      </c>
      <c r="J3" s="105" t="s">
        <v>3992</v>
      </c>
      <c r="K3" s="105" t="str">
        <f>IFERROR(__xludf.DUMMYFUNCTION("GOOGLETRANSLATE(J3,""he"",""en"")"),"Wafer rolls quarter to seven in chocolate milk")</f>
        <v>Wafer rolls quarter to seven in chocolate milk</v>
      </c>
      <c r="L3" s="104" t="s">
        <v>3996</v>
      </c>
      <c r="M3" s="105" t="s">
        <v>6304</v>
      </c>
      <c r="N3" s="108" t="s">
        <v>6305</v>
      </c>
      <c r="O3" s="109"/>
      <c r="P3" s="109"/>
      <c r="Q3" s="115" t="s">
        <v>3995</v>
      </c>
      <c r="R3" s="116"/>
      <c r="S3" s="117"/>
      <c r="T3" s="102"/>
      <c r="U3" s="102"/>
      <c r="V3" s="102"/>
      <c r="W3" s="102"/>
      <c r="X3" s="102"/>
      <c r="Y3" s="102"/>
      <c r="Z3" s="102"/>
      <c r="AA3" s="102"/>
      <c r="AB3" s="102"/>
      <c r="AC3" s="113"/>
      <c r="AD3" s="113"/>
      <c r="AE3" s="113"/>
    </row>
    <row r="4">
      <c r="A4" s="114">
        <v>7.290107944366E12</v>
      </c>
      <c r="B4" s="104" t="str">
        <f t="shared" si="1"/>
        <v>a-quarter-to-seven_Wafer rolls quarter to seven white chocolate coating</v>
      </c>
      <c r="C4" s="105">
        <v>0.26</v>
      </c>
      <c r="D4" s="105">
        <v>0.09</v>
      </c>
      <c r="E4" s="105">
        <v>0.03</v>
      </c>
      <c r="F4" s="106">
        <f>ROUND('Meta data'!$B$1/E4,0)</f>
        <v>10</v>
      </c>
      <c r="G4" s="107"/>
      <c r="H4" s="105" t="s">
        <v>3952</v>
      </c>
      <c r="I4" s="105" t="str">
        <f>IFERROR(__xludf.DUMMYFUNCTION("GOOGLETRANSLATE(H4,""he"",""en"")"),"a quarter to seven")</f>
        <v>a quarter to seven</v>
      </c>
      <c r="J4" s="105" t="s">
        <v>3998</v>
      </c>
      <c r="K4" s="105" t="str">
        <f>IFERROR(__xludf.DUMMYFUNCTION("GOOGLETRANSLATE(J4,""he"",""en"")"),"Wafer rolls quarter to seven white chocolate coating")</f>
        <v>Wafer rolls quarter to seven white chocolate coating</v>
      </c>
      <c r="L4" s="104" t="s">
        <v>4002</v>
      </c>
      <c r="M4" s="105" t="s">
        <v>6304</v>
      </c>
      <c r="N4" s="108" t="s">
        <v>6305</v>
      </c>
      <c r="O4" s="109"/>
      <c r="P4" s="109"/>
      <c r="Q4" s="115" t="s">
        <v>4001</v>
      </c>
      <c r="R4" s="116"/>
      <c r="S4" s="117"/>
      <c r="T4" s="118"/>
      <c r="U4" s="117"/>
      <c r="V4" s="102"/>
      <c r="W4" s="102"/>
      <c r="X4" s="102"/>
      <c r="Y4" s="102"/>
      <c r="Z4" s="102"/>
      <c r="AA4" s="102"/>
      <c r="AB4" s="102"/>
      <c r="AC4" s="113"/>
      <c r="AD4" s="113"/>
      <c r="AE4" s="113"/>
    </row>
    <row r="5">
      <c r="A5" s="114">
        <v>7.290106669406E12</v>
      </c>
      <c r="B5" s="104" t="str">
        <f t="shared" si="1"/>
        <v>a-quarter-to-seven_Moss quarter to seven nuts</v>
      </c>
      <c r="C5" s="105">
        <v>0.275</v>
      </c>
      <c r="D5" s="105">
        <v>0.105</v>
      </c>
      <c r="E5" s="105">
        <v>0.03</v>
      </c>
      <c r="F5" s="106">
        <f>ROUND('Meta data'!$B$1/E5,0)</f>
        <v>10</v>
      </c>
      <c r="G5" s="107"/>
      <c r="H5" s="105" t="s">
        <v>3952</v>
      </c>
      <c r="I5" s="105" t="str">
        <f>IFERROR(__xludf.DUMMYFUNCTION("GOOGLETRANSLATE(H5,""he"",""en"")"),"a quarter to seven")</f>
        <v>a quarter to seven</v>
      </c>
      <c r="J5" s="105" t="s">
        <v>3961</v>
      </c>
      <c r="K5" s="105" t="str">
        <f>IFERROR(__xludf.DUMMYFUNCTION("GOOGLETRANSLATE(J5,""he"",""en"")"),"Moss quarter to seven nuts")</f>
        <v>Moss quarter to seven nuts</v>
      </c>
      <c r="L5" s="104" t="s">
        <v>3965</v>
      </c>
      <c r="M5" s="105" t="s">
        <v>6304</v>
      </c>
      <c r="N5" s="108" t="s">
        <v>6305</v>
      </c>
      <c r="O5" s="109"/>
      <c r="P5" s="109"/>
      <c r="Q5" s="115" t="s">
        <v>3964</v>
      </c>
      <c r="R5" s="116"/>
      <c r="S5" s="118"/>
      <c r="T5" s="117"/>
      <c r="U5" s="102"/>
      <c r="V5" s="102"/>
      <c r="W5" s="102"/>
      <c r="X5" s="102"/>
      <c r="Y5" s="102"/>
      <c r="Z5" s="102"/>
      <c r="AA5" s="102"/>
      <c r="AB5" s="102"/>
      <c r="AC5" s="113"/>
      <c r="AD5" s="113"/>
      <c r="AE5" s="113"/>
    </row>
    <row r="6">
      <c r="A6" s="114">
        <v>7.290107958523E12</v>
      </c>
      <c r="B6" s="104" t="str">
        <f t="shared" si="1"/>
        <v>a-quarter-to-seven_Moss quarter to seven halva</v>
      </c>
      <c r="C6" s="105">
        <v>0.275</v>
      </c>
      <c r="D6" s="105">
        <v>0.105</v>
      </c>
      <c r="E6" s="105">
        <v>0.03</v>
      </c>
      <c r="F6" s="106">
        <f>ROUND('Meta data'!$B$1/E6,0)</f>
        <v>10</v>
      </c>
      <c r="G6" s="107"/>
      <c r="H6" s="105" t="s">
        <v>3952</v>
      </c>
      <c r="I6" s="105" t="str">
        <f>IFERROR(__xludf.DUMMYFUNCTION("GOOGLETRANSLATE(H6,""he"",""en"")"),"a quarter to seven")</f>
        <v>a quarter to seven</v>
      </c>
      <c r="J6" s="105" t="s">
        <v>3954</v>
      </c>
      <c r="K6" s="105" t="str">
        <f>IFERROR(__xludf.DUMMYFUNCTION("GOOGLETRANSLATE(J6,""he"",""en"")"),"Moss quarter to seven halva")</f>
        <v>Moss quarter to seven halva</v>
      </c>
      <c r="L6" s="104" t="s">
        <v>3958</v>
      </c>
      <c r="M6" s="105" t="s">
        <v>6304</v>
      </c>
      <c r="N6" s="108" t="s">
        <v>6305</v>
      </c>
      <c r="O6" s="109"/>
      <c r="P6" s="109"/>
      <c r="Q6" s="115" t="s">
        <v>3957</v>
      </c>
      <c r="R6" s="116"/>
      <c r="S6" s="117"/>
      <c r="T6" s="118"/>
      <c r="U6" s="117"/>
      <c r="V6" s="102"/>
      <c r="W6" s="102"/>
      <c r="X6" s="102"/>
      <c r="Y6" s="102"/>
      <c r="Z6" s="102"/>
      <c r="AA6" s="102"/>
      <c r="AB6" s="102"/>
      <c r="AC6" s="113"/>
      <c r="AD6" s="113"/>
      <c r="AE6" s="113"/>
    </row>
    <row r="7">
      <c r="A7" s="114">
        <v>7.290104061219E12</v>
      </c>
      <c r="B7" s="104" t="str">
        <f t="shared" si="1"/>
        <v>a-quarter-to-seven_Quarter to seven nuts 120g</v>
      </c>
      <c r="C7" s="105">
        <v>0.26</v>
      </c>
      <c r="D7" s="105">
        <v>0.09</v>
      </c>
      <c r="E7" s="105">
        <v>0.03</v>
      </c>
      <c r="F7" s="106">
        <f>ROUND('Meta data'!$B$1/E7,0)</f>
        <v>10</v>
      </c>
      <c r="G7" s="107"/>
      <c r="H7" s="105" t="s">
        <v>3952</v>
      </c>
      <c r="I7" s="105" t="str">
        <f>IFERROR(__xludf.DUMMYFUNCTION("GOOGLETRANSLATE(H7,""he"",""en"")"),"a quarter to seven")</f>
        <v>a quarter to seven</v>
      </c>
      <c r="J7" s="105" t="s">
        <v>3986</v>
      </c>
      <c r="K7" s="105" t="str">
        <f>IFERROR(__xludf.DUMMYFUNCTION("GOOGLETRANSLATE(J7,""he"",""en"")"),"Quarter to seven nuts 120g")</f>
        <v>Quarter to seven nuts 120g</v>
      </c>
      <c r="L7" s="104" t="s">
        <v>3990</v>
      </c>
      <c r="M7" s="105" t="s">
        <v>6304</v>
      </c>
      <c r="N7" s="108" t="s">
        <v>6305</v>
      </c>
      <c r="O7" s="109"/>
      <c r="P7" s="109"/>
      <c r="Q7" s="115" t="s">
        <v>3989</v>
      </c>
      <c r="R7" s="116"/>
      <c r="S7" s="118"/>
      <c r="T7" s="117"/>
      <c r="U7" s="102"/>
      <c r="V7" s="102"/>
      <c r="W7" s="102"/>
      <c r="X7" s="102"/>
      <c r="Y7" s="102"/>
      <c r="Z7" s="102"/>
      <c r="AA7" s="102"/>
      <c r="AB7" s="102"/>
      <c r="AC7" s="113"/>
      <c r="AD7" s="113"/>
      <c r="AE7" s="113"/>
    </row>
    <row r="8">
      <c r="A8" s="114">
        <v>7.290112332707E12</v>
      </c>
      <c r="B8" s="104" t="str">
        <f t="shared" si="1"/>
        <v>a-quarter-to-seven_One by one quarter to seven</v>
      </c>
      <c r="C8" s="105">
        <v>0.11</v>
      </c>
      <c r="D8" s="105">
        <v>0.23</v>
      </c>
      <c r="E8" s="105">
        <v>0.035</v>
      </c>
      <c r="F8" s="106">
        <f>ROUND('Meta data'!$B$1/E8,0)</f>
        <v>9</v>
      </c>
      <c r="G8" s="107"/>
      <c r="H8" s="105" t="s">
        <v>3952</v>
      </c>
      <c r="I8" s="105" t="str">
        <f>IFERROR(__xludf.DUMMYFUNCTION("GOOGLETRANSLATE(H8,""he"",""en"")"),"a quarter to seven")</f>
        <v>a quarter to seven</v>
      </c>
      <c r="J8" s="105" t="s">
        <v>3974</v>
      </c>
      <c r="K8" s="105" t="str">
        <f>IFERROR(__xludf.DUMMYFUNCTION("GOOGLETRANSLATE(J8,""he"",""en"")"),"One by one quarter to seven")</f>
        <v>One by one quarter to seven</v>
      </c>
      <c r="L8" s="104" t="s">
        <v>3978</v>
      </c>
      <c r="M8" s="105" t="s">
        <v>6304</v>
      </c>
      <c r="N8" s="108" t="s">
        <v>6305</v>
      </c>
      <c r="O8" s="109"/>
      <c r="P8" s="109"/>
      <c r="Q8" s="115" t="s">
        <v>3977</v>
      </c>
      <c r="R8" s="111"/>
      <c r="S8" s="117"/>
      <c r="T8" s="117"/>
      <c r="U8" s="118"/>
      <c r="V8" s="117"/>
      <c r="W8" s="102"/>
      <c r="X8" s="102"/>
      <c r="Y8" s="102"/>
      <c r="Z8" s="102"/>
      <c r="AA8" s="102"/>
      <c r="AB8" s="102"/>
      <c r="AC8" s="113"/>
      <c r="AD8" s="113"/>
      <c r="AE8" s="113"/>
    </row>
    <row r="9">
      <c r="A9" s="114">
        <v>7.290112331946E12</v>
      </c>
      <c r="B9" s="104" t="str">
        <f t="shared" si="1"/>
        <v>a-quarter-to-seven_Quarter to seven flavored tortillas</v>
      </c>
      <c r="C9" s="105">
        <v>0.26</v>
      </c>
      <c r="D9" s="105">
        <v>0.09</v>
      </c>
      <c r="E9" s="105">
        <v>0.03</v>
      </c>
      <c r="F9" s="106">
        <f>ROUND('Meta data'!$B$1/E9,0)</f>
        <v>10</v>
      </c>
      <c r="G9" s="107"/>
      <c r="H9" s="105" t="s">
        <v>3952</v>
      </c>
      <c r="I9" s="105" t="str">
        <f>IFERROR(__xludf.DUMMYFUNCTION("GOOGLETRANSLATE(H9,""he"",""en"")"),"a quarter to seven")</f>
        <v>a quarter to seven</v>
      </c>
      <c r="J9" s="105" t="s">
        <v>3980</v>
      </c>
      <c r="K9" s="105" t="str">
        <f>IFERROR(__xludf.DUMMYFUNCTION("GOOGLETRANSLATE(J9,""he"",""en"")"),"Quarter to seven flavored tortillas")</f>
        <v>Quarter to seven flavored tortillas</v>
      </c>
      <c r="L9" s="104" t="s">
        <v>3984</v>
      </c>
      <c r="M9" s="105" t="s">
        <v>6304</v>
      </c>
      <c r="N9" s="108" t="s">
        <v>6305</v>
      </c>
      <c r="O9" s="109"/>
      <c r="P9" s="109"/>
      <c r="Q9" s="115" t="s">
        <v>3983</v>
      </c>
      <c r="R9" s="111"/>
      <c r="S9" s="117"/>
      <c r="T9" s="117"/>
      <c r="U9" s="117"/>
      <c r="V9" s="117"/>
      <c r="W9" s="102"/>
      <c r="X9" s="102"/>
      <c r="Y9" s="102"/>
      <c r="Z9" s="102"/>
      <c r="AA9" s="102"/>
      <c r="AB9" s="102"/>
      <c r="AC9" s="113"/>
      <c r="AD9" s="113"/>
      <c r="AE9" s="113"/>
    </row>
    <row r="10">
      <c r="A10" s="114">
        <v>7.290002771111E12</v>
      </c>
      <c r="B10" s="104" t="str">
        <f t="shared" si="1"/>
        <v>Al-Nakhla_Al Nakhla coffee with cardamom 250g</v>
      </c>
      <c r="C10" s="105">
        <v>0.11</v>
      </c>
      <c r="D10" s="105">
        <v>0.15</v>
      </c>
      <c r="E10" s="105">
        <v>0.057</v>
      </c>
      <c r="F10" s="106">
        <f>ROUND('Meta data'!$B$1/E10,0)</f>
        <v>5</v>
      </c>
      <c r="G10" s="107"/>
      <c r="H10" s="105" t="s">
        <v>5165</v>
      </c>
      <c r="I10" s="105" t="str">
        <f>IFERROR(__xludf.DUMMYFUNCTION("GOOGLETRANSLATE(H10,""he"",""en"")"),"Al Nakhla")</f>
        <v>Al Nakhla</v>
      </c>
      <c r="J10" s="105" t="s">
        <v>48</v>
      </c>
      <c r="K10" s="105" t="str">
        <f>IFERROR(__xludf.DUMMYFUNCTION("GOOGLETRANSLATE(J10,""he"",""en"")"),"Al Nakhla coffee with cardamom 250g")</f>
        <v>Al Nakhla coffee with cardamom 250g</v>
      </c>
      <c r="L10" s="104" t="s">
        <v>54</v>
      </c>
      <c r="M10" s="105" t="s">
        <v>6306</v>
      </c>
      <c r="N10" s="108" t="s">
        <v>6307</v>
      </c>
      <c r="O10" s="109"/>
      <c r="P10" s="109"/>
      <c r="Q10" s="111" t="s">
        <v>53</v>
      </c>
      <c r="R10" s="115"/>
      <c r="S10" s="112"/>
      <c r="T10" s="102"/>
      <c r="U10" s="102"/>
      <c r="V10" s="102"/>
      <c r="W10" s="102"/>
      <c r="X10" s="102"/>
      <c r="Y10" s="102"/>
      <c r="Z10" s="102"/>
      <c r="AA10" s="102"/>
      <c r="AB10" s="102"/>
      <c r="AC10" s="113"/>
      <c r="AD10" s="113"/>
      <c r="AE10" s="113"/>
    </row>
    <row r="11">
      <c r="A11" s="114">
        <v>7.290000066349E12</v>
      </c>
      <c r="B11" s="104" t="str">
        <f t="shared" si="1"/>
        <v>Apropo_Apropo 100g</v>
      </c>
      <c r="C11" s="105">
        <v>0.145</v>
      </c>
      <c r="D11" s="105">
        <v>0.225</v>
      </c>
      <c r="E11" s="105">
        <v>0.06</v>
      </c>
      <c r="F11" s="106">
        <f>ROUND('Meta data'!$B$1/E11,0)</f>
        <v>5</v>
      </c>
      <c r="G11" s="107"/>
      <c r="H11" s="105" t="s">
        <v>104</v>
      </c>
      <c r="I11" s="119" t="s">
        <v>105</v>
      </c>
      <c r="J11" s="105" t="s">
        <v>106</v>
      </c>
      <c r="K11" s="119" t="s">
        <v>6308</v>
      </c>
      <c r="L11" s="104" t="s">
        <v>112</v>
      </c>
      <c r="M11" s="105" t="s">
        <v>6309</v>
      </c>
      <c r="N11" s="108" t="s">
        <v>6310</v>
      </c>
      <c r="O11" s="109"/>
      <c r="P11" s="109"/>
      <c r="Q11" s="115" t="s">
        <v>111</v>
      </c>
      <c r="R11" s="116"/>
      <c r="S11" s="117"/>
      <c r="T11" s="117"/>
      <c r="U11" s="117"/>
      <c r="V11" s="117"/>
      <c r="W11" s="102"/>
      <c r="X11" s="102"/>
      <c r="Y11" s="102"/>
      <c r="Z11" s="102"/>
      <c r="AA11" s="102"/>
      <c r="AB11" s="102"/>
      <c r="AC11" s="113"/>
      <c r="AD11" s="113"/>
      <c r="AE11" s="113"/>
    </row>
    <row r="12">
      <c r="A12" s="114">
        <v>7.290000066332E12</v>
      </c>
      <c r="B12" s="104" t="str">
        <f t="shared" si="1"/>
        <v>Apropo_Apropo 50g</v>
      </c>
      <c r="C12" s="105">
        <v>0.125</v>
      </c>
      <c r="D12" s="105">
        <v>0.1665</v>
      </c>
      <c r="E12" s="105">
        <v>0.06</v>
      </c>
      <c r="F12" s="106">
        <f>ROUND('Meta data'!$B$1/E12,0)</f>
        <v>5</v>
      </c>
      <c r="G12" s="107"/>
      <c r="H12" s="105" t="s">
        <v>104</v>
      </c>
      <c r="I12" s="119" t="s">
        <v>105</v>
      </c>
      <c r="J12" s="105" t="s">
        <v>115</v>
      </c>
      <c r="K12" s="119" t="s">
        <v>6311</v>
      </c>
      <c r="L12" s="104" t="s">
        <v>119</v>
      </c>
      <c r="M12" s="105" t="s">
        <v>6309</v>
      </c>
      <c r="N12" s="108" t="s">
        <v>6310</v>
      </c>
      <c r="O12" s="109"/>
      <c r="P12" s="109"/>
      <c r="Q12" s="115" t="s">
        <v>118</v>
      </c>
      <c r="R12" s="116"/>
      <c r="S12" s="117"/>
      <c r="T12" s="117"/>
      <c r="U12" s="118"/>
      <c r="V12" s="117"/>
      <c r="W12" s="102"/>
      <c r="X12" s="102"/>
      <c r="Y12" s="102"/>
      <c r="Z12" s="102"/>
      <c r="AA12" s="102"/>
      <c r="AB12" s="102"/>
      <c r="AC12" s="113"/>
      <c r="AD12" s="113"/>
      <c r="AE12" s="113"/>
    </row>
    <row r="13">
      <c r="A13" s="114">
        <v>7.290104500572E12</v>
      </c>
      <c r="B13" s="104" t="str">
        <f t="shared" si="1"/>
        <v>Apropo_Apropo Italiano Sunburn 36 * 50 g</v>
      </c>
      <c r="C13" s="105">
        <v>0.125</v>
      </c>
      <c r="D13" s="105">
        <v>0.1665</v>
      </c>
      <c r="E13" s="105">
        <v>0.06</v>
      </c>
      <c r="F13" s="106">
        <f>ROUND('Meta data'!$B$1/E13,0)</f>
        <v>5</v>
      </c>
      <c r="G13" s="107"/>
      <c r="H13" s="105" t="s">
        <v>104</v>
      </c>
      <c r="I13" s="119" t="s">
        <v>105</v>
      </c>
      <c r="J13" s="105" t="s">
        <v>121</v>
      </c>
      <c r="K13" s="119" t="s">
        <v>6312</v>
      </c>
      <c r="L13" s="104" t="s">
        <v>123</v>
      </c>
      <c r="M13" s="105" t="s">
        <v>6309</v>
      </c>
      <c r="N13" s="108" t="s">
        <v>6310</v>
      </c>
      <c r="O13" s="109"/>
      <c r="P13" s="109"/>
      <c r="Q13" s="115" t="s">
        <v>124</v>
      </c>
      <c r="R13" s="116"/>
      <c r="S13" s="117"/>
      <c r="T13" s="117"/>
      <c r="U13" s="118"/>
      <c r="V13" s="117"/>
      <c r="W13" s="102"/>
      <c r="X13" s="102"/>
      <c r="Y13" s="102"/>
      <c r="Z13" s="102"/>
      <c r="AA13" s="102"/>
      <c r="AB13" s="102"/>
      <c r="AC13" s="113"/>
      <c r="AD13" s="113"/>
      <c r="AE13" s="113"/>
    </row>
    <row r="14">
      <c r="A14" s="114">
        <v>7.290106576223E12</v>
      </c>
      <c r="B14" s="104" t="str">
        <f t="shared" si="1"/>
        <v>Apropo_Apropo of chocolate 40 g 36 *</v>
      </c>
      <c r="C14" s="105">
        <v>0.13</v>
      </c>
      <c r="D14" s="105">
        <v>0.12</v>
      </c>
      <c r="E14" s="105">
        <v>0.04</v>
      </c>
      <c r="F14" s="106">
        <f>ROUND('Meta data'!$B$1/E14,0)</f>
        <v>8</v>
      </c>
      <c r="G14" s="107"/>
      <c r="H14" s="105" t="s">
        <v>104</v>
      </c>
      <c r="I14" s="119" t="s">
        <v>105</v>
      </c>
      <c r="J14" s="105" t="s">
        <v>126</v>
      </c>
      <c r="K14" s="119" t="s">
        <v>6313</v>
      </c>
      <c r="L14" s="104" t="s">
        <v>128</v>
      </c>
      <c r="M14" s="105" t="s">
        <v>6309</v>
      </c>
      <c r="N14" s="108" t="s">
        <v>6310</v>
      </c>
      <c r="O14" s="109"/>
      <c r="P14" s="109"/>
      <c r="Q14" s="115" t="s">
        <v>129</v>
      </c>
      <c r="R14" s="116"/>
      <c r="S14" s="117"/>
      <c r="T14" s="118"/>
      <c r="U14" s="117"/>
      <c r="V14" s="102"/>
      <c r="W14" s="102"/>
      <c r="X14" s="102"/>
      <c r="Y14" s="102"/>
      <c r="Z14" s="102"/>
      <c r="AA14" s="102"/>
      <c r="AB14" s="102"/>
      <c r="AC14" s="113"/>
      <c r="AD14" s="113"/>
      <c r="AE14" s="113"/>
    </row>
    <row r="15">
      <c r="A15" s="114">
        <v>7.290013038432E12</v>
      </c>
      <c r="B15" s="104" t="str">
        <f t="shared" si="1"/>
        <v>Aqua-Nova_mineral water</v>
      </c>
      <c r="C15" s="105">
        <v>0.09999999</v>
      </c>
      <c r="D15" s="105">
        <v>0.35</v>
      </c>
      <c r="E15" s="105">
        <v>0.09</v>
      </c>
      <c r="F15" s="106">
        <f>ROUND('Meta data'!$B$1/E15,0)</f>
        <v>3</v>
      </c>
      <c r="G15" s="107"/>
      <c r="H15" s="105" t="s">
        <v>131</v>
      </c>
      <c r="I15" s="105" t="str">
        <f>IFERROR(__xludf.DUMMYFUNCTION("GOOGLETRANSLATE(H15,""he"",""en"")"),"Aqua Nova")</f>
        <v>Aqua Nova</v>
      </c>
      <c r="J15" s="105" t="s">
        <v>134</v>
      </c>
      <c r="K15" s="105" t="str">
        <f>IFERROR(__xludf.DUMMYFUNCTION("GOOGLETRANSLATE(J15,""he"",""en"")"),"mineral water")</f>
        <v>mineral water</v>
      </c>
      <c r="L15" s="104" t="s">
        <v>140</v>
      </c>
      <c r="M15" s="105" t="s">
        <v>6314</v>
      </c>
      <c r="N15" s="108" t="s">
        <v>6315</v>
      </c>
      <c r="O15" s="109"/>
      <c r="P15" s="109"/>
      <c r="Q15" s="115" t="s">
        <v>139</v>
      </c>
      <c r="R15" s="116"/>
      <c r="S15" s="117"/>
      <c r="T15" s="118"/>
      <c r="U15" s="117"/>
      <c r="V15" s="102"/>
      <c r="W15" s="102"/>
      <c r="X15" s="102"/>
      <c r="Y15" s="102"/>
      <c r="Z15" s="102"/>
      <c r="AA15" s="102"/>
      <c r="AB15" s="102"/>
      <c r="AC15" s="113"/>
      <c r="AD15" s="113"/>
      <c r="AE15" s="113"/>
    </row>
    <row r="16">
      <c r="A16" s="114">
        <v>6.13008753382E11</v>
      </c>
      <c r="B16" s="104" t="str">
        <f t="shared" si="1"/>
        <v>Arizona_Arizona Blueberry 450 ml</v>
      </c>
      <c r="C16" s="105">
        <v>0.065</v>
      </c>
      <c r="D16" s="105">
        <v>0.2</v>
      </c>
      <c r="E16" s="105">
        <v>0.065</v>
      </c>
      <c r="F16" s="106">
        <f>ROUND('Meta data'!$B$1/E16,0)</f>
        <v>5</v>
      </c>
      <c r="G16" s="107"/>
      <c r="H16" s="105" t="s">
        <v>143</v>
      </c>
      <c r="I16" s="105" t="str">
        <f>IFERROR(__xludf.DUMMYFUNCTION("GOOGLETRANSLATE(H16,""he"",""en"")"),"Arizona")</f>
        <v>Arizona</v>
      </c>
      <c r="J16" s="105" t="s">
        <v>146</v>
      </c>
      <c r="K16" s="105" t="str">
        <f>IFERROR(__xludf.DUMMYFUNCTION("GOOGLETRANSLATE(J16,""he"",""en"")"),"Arizona Blueberry 450 ml")</f>
        <v>Arizona Blueberry 450 ml</v>
      </c>
      <c r="L16" s="104" t="s">
        <v>152</v>
      </c>
      <c r="M16" s="105" t="s">
        <v>6316</v>
      </c>
      <c r="N16" s="108" t="s">
        <v>6317</v>
      </c>
      <c r="O16" s="109"/>
      <c r="P16" s="109"/>
      <c r="Q16" s="115" t="s">
        <v>151</v>
      </c>
      <c r="R16" s="120"/>
      <c r="S16" s="117"/>
      <c r="T16" s="102"/>
      <c r="U16" s="102"/>
      <c r="V16" s="102"/>
      <c r="W16" s="102"/>
      <c r="X16" s="102"/>
      <c r="Y16" s="102"/>
      <c r="Z16" s="102"/>
      <c r="AA16" s="102"/>
      <c r="AB16" s="102"/>
      <c r="AC16" s="113"/>
      <c r="AD16" s="113"/>
      <c r="AE16" s="113"/>
    </row>
    <row r="17">
      <c r="A17" s="114">
        <v>6.1300875329E11</v>
      </c>
      <c r="B17" s="104" t="str">
        <f t="shared" si="1"/>
        <v>Arizona_Arizona Peach 450 ml</v>
      </c>
      <c r="C17" s="105">
        <v>0.065</v>
      </c>
      <c r="D17" s="105">
        <v>0.2</v>
      </c>
      <c r="E17" s="105">
        <v>0.065</v>
      </c>
      <c r="F17" s="106">
        <f>ROUND('Meta data'!$B$1/E17,0)</f>
        <v>5</v>
      </c>
      <c r="G17" s="107"/>
      <c r="H17" s="105" t="s">
        <v>143</v>
      </c>
      <c r="I17" s="105" t="str">
        <f>IFERROR(__xludf.DUMMYFUNCTION("GOOGLETRANSLATE(H17,""he"",""en"")"),"Arizona")</f>
        <v>Arizona</v>
      </c>
      <c r="J17" s="105" t="s">
        <v>173</v>
      </c>
      <c r="K17" s="105" t="str">
        <f>IFERROR(__xludf.DUMMYFUNCTION("GOOGLETRANSLATE(J17,""he"",""en"")"),"Arizona Peach 450 ml")</f>
        <v>Arizona Peach 450 ml</v>
      </c>
      <c r="L17" s="104" t="s">
        <v>177</v>
      </c>
      <c r="M17" s="105" t="s">
        <v>6316</v>
      </c>
      <c r="N17" s="108" t="s">
        <v>6317</v>
      </c>
      <c r="O17" s="109"/>
      <c r="P17" s="109"/>
      <c r="Q17" s="115" t="s">
        <v>176</v>
      </c>
      <c r="R17" s="116"/>
      <c r="S17" s="117"/>
      <c r="T17" s="117"/>
      <c r="U17" s="118"/>
      <c r="V17" s="117"/>
      <c r="W17" s="102"/>
      <c r="X17" s="102"/>
      <c r="Y17" s="102"/>
      <c r="Z17" s="102"/>
      <c r="AA17" s="102"/>
      <c r="AB17" s="102"/>
      <c r="AC17" s="113"/>
      <c r="AD17" s="113"/>
      <c r="AE17" s="113"/>
    </row>
    <row r="18">
      <c r="A18" s="114">
        <v>6.1300875332E11</v>
      </c>
      <c r="B18" s="104" t="str">
        <f t="shared" si="1"/>
        <v>Arizona_Arizona Ginseng and Honey 450 ml</v>
      </c>
      <c r="C18" s="105">
        <v>0.065</v>
      </c>
      <c r="D18" s="105">
        <v>0.2</v>
      </c>
      <c r="E18" s="105">
        <v>0.065</v>
      </c>
      <c r="F18" s="106">
        <f>ROUND('Meta data'!$B$1/E18,0)</f>
        <v>5</v>
      </c>
      <c r="G18" s="107"/>
      <c r="H18" s="105" t="s">
        <v>143</v>
      </c>
      <c r="I18" s="105" t="str">
        <f>IFERROR(__xludf.DUMMYFUNCTION("GOOGLETRANSLATE(H18,""he"",""en"")"),"Arizona")</f>
        <v>Arizona</v>
      </c>
      <c r="J18" s="105" t="s">
        <v>154</v>
      </c>
      <c r="K18" s="105" t="str">
        <f>IFERROR(__xludf.DUMMYFUNCTION("GOOGLETRANSLATE(J18,""he"",""en"")"),"Arizona Ginseng and Honey 450 ml")</f>
        <v>Arizona Ginseng and Honey 450 ml</v>
      </c>
      <c r="L18" s="104" t="s">
        <v>158</v>
      </c>
      <c r="M18" s="105" t="s">
        <v>6316</v>
      </c>
      <c r="N18" s="108" t="s">
        <v>6317</v>
      </c>
      <c r="O18" s="109"/>
      <c r="P18" s="109"/>
      <c r="Q18" s="115" t="s">
        <v>157</v>
      </c>
      <c r="R18" s="116"/>
      <c r="S18" s="117"/>
      <c r="T18" s="118"/>
      <c r="U18" s="117"/>
      <c r="V18" s="102"/>
      <c r="W18" s="102"/>
      <c r="X18" s="102"/>
      <c r="Y18" s="102"/>
      <c r="Z18" s="102"/>
      <c r="AA18" s="102"/>
      <c r="AB18" s="102"/>
      <c r="AC18" s="113"/>
      <c r="AD18" s="113"/>
      <c r="AE18" s="113"/>
    </row>
    <row r="19">
      <c r="A19" s="114">
        <v>6.13008742409E11</v>
      </c>
      <c r="B19" s="104" t="str">
        <f t="shared" si="1"/>
        <v>Arizona_Arizona Peach 1 liter bottle</v>
      </c>
      <c r="C19" s="105">
        <v>0.08</v>
      </c>
      <c r="D19" s="105">
        <v>0.28</v>
      </c>
      <c r="E19" s="105">
        <v>0.08</v>
      </c>
      <c r="F19" s="106">
        <f>ROUND('Meta data'!$B$1/E19,0)</f>
        <v>4</v>
      </c>
      <c r="G19" s="107"/>
      <c r="H19" s="105" t="s">
        <v>143</v>
      </c>
      <c r="I19" s="105" t="str">
        <f>IFERROR(__xludf.DUMMYFUNCTION("GOOGLETRANSLATE(H19,""he"",""en"")"),"Arizona")</f>
        <v>Arizona</v>
      </c>
      <c r="J19" s="105" t="s">
        <v>167</v>
      </c>
      <c r="K19" s="105" t="str">
        <f>IFERROR(__xludf.DUMMYFUNCTION("GOOGLETRANSLATE(J19,""he"",""en"")"),"Arizona Peach 1 liter bottle")</f>
        <v>Arizona Peach 1 liter bottle</v>
      </c>
      <c r="L19" s="104" t="s">
        <v>171</v>
      </c>
      <c r="M19" s="105" t="s">
        <v>6316</v>
      </c>
      <c r="N19" s="108" t="s">
        <v>6318</v>
      </c>
      <c r="O19" s="109"/>
      <c r="P19" s="109"/>
      <c r="Q19" s="111" t="s">
        <v>170</v>
      </c>
      <c r="R19" s="111"/>
      <c r="S19" s="117"/>
      <c r="T19" s="117"/>
      <c r="U19" s="102"/>
      <c r="V19" s="102"/>
      <c r="W19" s="102"/>
      <c r="X19" s="102"/>
      <c r="Y19" s="102"/>
      <c r="Z19" s="102"/>
      <c r="AA19" s="102"/>
      <c r="AB19" s="102"/>
      <c r="AC19" s="113"/>
      <c r="AD19" s="113"/>
      <c r="AE19" s="113"/>
    </row>
    <row r="20">
      <c r="A20" s="114">
        <v>6.13008742348E11</v>
      </c>
      <c r="B20" s="104" t="str">
        <f t="shared" si="1"/>
        <v>Arizona_Arizona Gnsng and honey bottle 1 liter</v>
      </c>
      <c r="C20" s="105">
        <v>0.08</v>
      </c>
      <c r="D20" s="105">
        <v>0.28</v>
      </c>
      <c r="E20" s="105">
        <v>0.08</v>
      </c>
      <c r="F20" s="106">
        <f>ROUND('Meta data'!$B$1/E20,0)</f>
        <v>4</v>
      </c>
      <c r="G20" s="107"/>
      <c r="H20" s="105" t="s">
        <v>143</v>
      </c>
      <c r="I20" s="105" t="str">
        <f>IFERROR(__xludf.DUMMYFUNCTION("GOOGLETRANSLATE(H20,""he"",""en"")"),"Arizona")</f>
        <v>Arizona</v>
      </c>
      <c r="J20" s="105" t="s">
        <v>160</v>
      </c>
      <c r="K20" s="105" t="str">
        <f>IFERROR(__xludf.DUMMYFUNCTION("GOOGLETRANSLATE(J20,""he"",""en"")"),"Arizona Gnsng and honey bottle 1 liter")</f>
        <v>Arizona Gnsng and honey bottle 1 liter</v>
      </c>
      <c r="L20" s="104" t="s">
        <v>165</v>
      </c>
      <c r="M20" s="105" t="s">
        <v>6316</v>
      </c>
      <c r="N20" s="108" t="s">
        <v>6318</v>
      </c>
      <c r="O20" s="109"/>
      <c r="P20" s="109"/>
      <c r="Q20" s="115" t="s">
        <v>164</v>
      </c>
      <c r="R20" s="120"/>
      <c r="S20" s="117"/>
      <c r="T20" s="118"/>
      <c r="U20" s="117"/>
      <c r="V20" s="102"/>
      <c r="W20" s="102"/>
      <c r="X20" s="102"/>
      <c r="Y20" s="102"/>
      <c r="Z20" s="102"/>
      <c r="AA20" s="102"/>
      <c r="AB20" s="102"/>
      <c r="AC20" s="113"/>
      <c r="AD20" s="113"/>
      <c r="AE20" s="113"/>
    </row>
    <row r="21">
      <c r="A21" s="114">
        <v>6.02652258244E11</v>
      </c>
      <c r="B21" s="104" t="str">
        <f t="shared" si="1"/>
        <v>B-Kind_B Kind roasted nuts 40g</v>
      </c>
      <c r="C21" s="105">
        <v>0.162</v>
      </c>
      <c r="D21" s="105">
        <v>0.05</v>
      </c>
      <c r="E21" s="105">
        <v>0.02</v>
      </c>
      <c r="F21" s="106">
        <f>ROUND('Meta data'!$B$1/E21,0)</f>
        <v>15</v>
      </c>
      <c r="G21" s="107"/>
      <c r="H21" s="105" t="s">
        <v>315</v>
      </c>
      <c r="I21" s="119" t="s">
        <v>6319</v>
      </c>
      <c r="J21" s="105" t="s">
        <v>317</v>
      </c>
      <c r="K21" s="119" t="s">
        <v>6320</v>
      </c>
      <c r="L21" s="104" t="s">
        <v>323</v>
      </c>
      <c r="M21" s="105" t="s">
        <v>6321</v>
      </c>
      <c r="N21" s="108" t="s">
        <v>6322</v>
      </c>
      <c r="O21" s="109"/>
      <c r="P21" s="109"/>
      <c r="Q21" s="115" t="s">
        <v>322</v>
      </c>
      <c r="R21" s="116"/>
      <c r="S21" s="117"/>
      <c r="T21" s="117"/>
      <c r="U21" s="118"/>
      <c r="V21" s="117"/>
      <c r="W21" s="102"/>
      <c r="X21" s="102"/>
      <c r="Y21" s="102"/>
      <c r="Z21" s="102"/>
      <c r="AA21" s="102"/>
      <c r="AB21" s="102"/>
      <c r="AC21" s="113"/>
      <c r="AD21" s="113"/>
      <c r="AE21" s="113"/>
    </row>
    <row r="22">
      <c r="A22" s="114">
        <v>5.00015952832E12</v>
      </c>
      <c r="B22" s="104" t="str">
        <f t="shared" si="1"/>
        <v>B-Kind_B Kind roasted nuts 40g</v>
      </c>
      <c r="C22" s="105">
        <v>0.162</v>
      </c>
      <c r="D22" s="105">
        <v>0.05</v>
      </c>
      <c r="E22" s="105">
        <v>0.02</v>
      </c>
      <c r="F22" s="106">
        <f>ROUND('Meta data'!$B$1/E22,0)</f>
        <v>15</v>
      </c>
      <c r="G22" s="107"/>
      <c r="H22" s="105" t="s">
        <v>315</v>
      </c>
      <c r="I22" s="119" t="s">
        <v>6319</v>
      </c>
      <c r="J22" s="105" t="s">
        <v>317</v>
      </c>
      <c r="K22" s="119" t="s">
        <v>6323</v>
      </c>
      <c r="L22" s="104" t="s">
        <v>326</v>
      </c>
      <c r="M22" s="105" t="s">
        <v>6321</v>
      </c>
      <c r="N22" s="108" t="s">
        <v>6322</v>
      </c>
      <c r="O22" s="109"/>
      <c r="P22" s="109"/>
      <c r="Q22" s="115" t="s">
        <v>325</v>
      </c>
      <c r="R22" s="116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13"/>
      <c r="AD22" s="113"/>
      <c r="AE22" s="113"/>
    </row>
    <row r="23">
      <c r="A23" s="114">
        <v>6.02652257834E11</v>
      </c>
      <c r="B23" s="104" t="str">
        <f t="shared" si="1"/>
        <v>B-Kind_Maple Pecan B Kind 40 g</v>
      </c>
      <c r="C23" s="105">
        <v>0.162</v>
      </c>
      <c r="D23" s="105">
        <v>0.05</v>
      </c>
      <c r="E23" s="105">
        <v>0.02</v>
      </c>
      <c r="F23" s="106">
        <f>ROUND('Meta data'!$B$1/E23,0)</f>
        <v>15</v>
      </c>
      <c r="G23" s="107"/>
      <c r="H23" s="105" t="s">
        <v>315</v>
      </c>
      <c r="I23" s="119" t="s">
        <v>6319</v>
      </c>
      <c r="J23" s="105" t="s">
        <v>329</v>
      </c>
      <c r="K23" s="119" t="s">
        <v>6324</v>
      </c>
      <c r="L23" s="104" t="s">
        <v>333</v>
      </c>
      <c r="M23" s="105" t="s">
        <v>6321</v>
      </c>
      <c r="N23" s="108" t="s">
        <v>6322</v>
      </c>
      <c r="O23" s="109"/>
      <c r="P23" s="109"/>
      <c r="Q23" s="115" t="s">
        <v>332</v>
      </c>
      <c r="R23" s="116"/>
      <c r="S23" s="117"/>
      <c r="T23" s="117"/>
      <c r="U23" s="118"/>
      <c r="V23" s="117"/>
      <c r="W23" s="102"/>
      <c r="X23" s="102"/>
      <c r="Y23" s="102"/>
      <c r="Z23" s="102"/>
      <c r="AA23" s="102"/>
      <c r="AB23" s="102"/>
      <c r="AC23" s="113"/>
      <c r="AD23" s="113"/>
      <c r="AE23" s="113"/>
    </row>
    <row r="24">
      <c r="A24" s="114">
        <v>7.290000066318E12</v>
      </c>
      <c r="B24" s="104" t="str">
        <f t="shared" si="1"/>
        <v>Bamba_Bamba 80 g</v>
      </c>
      <c r="C24" s="105">
        <v>0.128</v>
      </c>
      <c r="D24" s="105">
        <v>0.23</v>
      </c>
      <c r="E24" s="105">
        <v>0.056</v>
      </c>
      <c r="F24" s="106">
        <f>ROUND('Meta data'!$B$1/E24,0)</f>
        <v>5</v>
      </c>
      <c r="G24" s="107"/>
      <c r="H24" s="105" t="s">
        <v>245</v>
      </c>
      <c r="I24" s="105" t="str">
        <f>IFERROR(__xludf.DUMMYFUNCTION("GOOGLETRANSLATE(H24,""he"",""en"")"),"Bamba")</f>
        <v>Bamba</v>
      </c>
      <c r="J24" s="105" t="s">
        <v>247</v>
      </c>
      <c r="K24" s="105" t="str">
        <f>IFERROR(__xludf.DUMMYFUNCTION("GOOGLETRANSLATE(J24,""he"",""en"")"),"Bamba 80 g")</f>
        <v>Bamba 80 g</v>
      </c>
      <c r="L24" s="104" t="s">
        <v>252</v>
      </c>
      <c r="M24" s="105" t="s">
        <v>6309</v>
      </c>
      <c r="N24" s="108" t="s">
        <v>6325</v>
      </c>
      <c r="O24" s="109"/>
      <c r="P24" s="109"/>
      <c r="Q24" s="115" t="s">
        <v>251</v>
      </c>
      <c r="R24" s="115"/>
      <c r="S24" s="117"/>
      <c r="T24" s="112"/>
      <c r="U24" s="117"/>
      <c r="V24" s="112"/>
      <c r="W24" s="102"/>
      <c r="X24" s="102"/>
      <c r="Y24" s="102"/>
      <c r="Z24" s="102"/>
      <c r="AA24" s="102"/>
      <c r="AB24" s="102"/>
      <c r="AC24" s="113"/>
      <c r="AD24" s="113"/>
      <c r="AE24" s="113"/>
    </row>
    <row r="25">
      <c r="A25" s="114">
        <v>7.29000006877E12</v>
      </c>
      <c r="B25" s="104" t="str">
        <f t="shared" si="1"/>
        <v>Bamba_Bamba Birthday 80 g</v>
      </c>
      <c r="C25" s="105">
        <v>0.128</v>
      </c>
      <c r="D25" s="105">
        <v>0.23</v>
      </c>
      <c r="E25" s="105">
        <v>0.056</v>
      </c>
      <c r="F25" s="106">
        <f>ROUND('Meta data'!$B$1/E25,0)</f>
        <v>5</v>
      </c>
      <c r="G25" s="107"/>
      <c r="H25" s="105" t="s">
        <v>245</v>
      </c>
      <c r="I25" s="105" t="str">
        <f>IFERROR(__xludf.DUMMYFUNCTION("GOOGLETRANSLATE(H25,""he"",""en"")"),"Bamba")</f>
        <v>Bamba</v>
      </c>
      <c r="J25" s="105" t="s">
        <v>254</v>
      </c>
      <c r="K25" s="105" t="str">
        <f>IFERROR(__xludf.DUMMYFUNCTION("GOOGLETRANSLATE(J25,""he"",""en"")"),"Bamba Birthday 80 g")</f>
        <v>Bamba Birthday 80 g</v>
      </c>
      <c r="L25" s="104" t="s">
        <v>258</v>
      </c>
      <c r="M25" s="105" t="s">
        <v>6309</v>
      </c>
      <c r="N25" s="108" t="s">
        <v>6325</v>
      </c>
      <c r="O25" s="109"/>
      <c r="P25" s="109"/>
      <c r="Q25" s="115" t="s">
        <v>257</v>
      </c>
      <c r="R25" s="116"/>
      <c r="S25" s="117"/>
      <c r="T25" s="121"/>
      <c r="U25" s="112"/>
      <c r="V25" s="102"/>
      <c r="W25" s="102"/>
      <c r="X25" s="102"/>
      <c r="Y25" s="102"/>
      <c r="Z25" s="102"/>
      <c r="AA25" s="102"/>
      <c r="AB25" s="102"/>
      <c r="AC25" s="113"/>
      <c r="AD25" s="113"/>
      <c r="AE25" s="113"/>
    </row>
    <row r="26">
      <c r="A26" s="114">
        <v>7.290111565656E12</v>
      </c>
      <c r="B26" s="104" t="str">
        <f t="shared" si="1"/>
        <v>Bamba_Bamba Nougat 150g 24 *</v>
      </c>
      <c r="C26" s="105">
        <v>0.128</v>
      </c>
      <c r="D26" s="105">
        <v>0.23</v>
      </c>
      <c r="E26" s="105">
        <v>0.056</v>
      </c>
      <c r="F26" s="106">
        <f>ROUND('Meta data'!$B$1/E26,0)</f>
        <v>5</v>
      </c>
      <c r="G26" s="107"/>
      <c r="H26" s="105" t="s">
        <v>245</v>
      </c>
      <c r="I26" s="105" t="str">
        <f>IFERROR(__xludf.DUMMYFUNCTION("GOOGLETRANSLATE(H26,""he"",""en"")"),"Bamba")</f>
        <v>Bamba</v>
      </c>
      <c r="J26" s="105" t="s">
        <v>260</v>
      </c>
      <c r="K26" s="105" t="str">
        <f>IFERROR(__xludf.DUMMYFUNCTION("GOOGLETRANSLATE(J26,""he"",""en"")"),"Bamba Nougat 150g 24 *")</f>
        <v>Bamba Nougat 150g 24 *</v>
      </c>
      <c r="L26" s="104" t="s">
        <v>262</v>
      </c>
      <c r="M26" s="105" t="s">
        <v>6309</v>
      </c>
      <c r="N26" s="108" t="s">
        <v>6325</v>
      </c>
      <c r="O26" s="109"/>
      <c r="P26" s="109"/>
      <c r="Q26" s="115" t="s">
        <v>263</v>
      </c>
      <c r="R26" s="116"/>
      <c r="S26" s="117"/>
      <c r="T26" s="117"/>
      <c r="U26" s="121"/>
      <c r="V26" s="102"/>
      <c r="W26" s="102"/>
      <c r="X26" s="102"/>
      <c r="Y26" s="102"/>
      <c r="Z26" s="102"/>
      <c r="AA26" s="102"/>
      <c r="AB26" s="102"/>
      <c r="AC26" s="113"/>
      <c r="AD26" s="113"/>
      <c r="AE26" s="113"/>
    </row>
    <row r="27">
      <c r="A27" s="114">
        <v>7.290112966582E12</v>
      </c>
      <c r="B27" s="104" t="str">
        <f t="shared" si="1"/>
        <v>Bamba_Bamba Nougat mildly sweet 60 grams</v>
      </c>
      <c r="C27" s="105">
        <v>0.14</v>
      </c>
      <c r="D27" s="105">
        <v>0.175</v>
      </c>
      <c r="E27" s="105">
        <v>0.036</v>
      </c>
      <c r="F27" s="106">
        <f>ROUND('Meta data'!$B$1/E27,0)</f>
        <v>8</v>
      </c>
      <c r="G27" s="107"/>
      <c r="H27" s="105" t="s">
        <v>245</v>
      </c>
      <c r="I27" s="105" t="str">
        <f>IFERROR(__xludf.DUMMYFUNCTION("GOOGLETRANSLATE(H27,""he"",""en"")"),"Bamba")</f>
        <v>Bamba</v>
      </c>
      <c r="J27" s="105" t="s">
        <v>265</v>
      </c>
      <c r="K27" s="105" t="str">
        <f>IFERROR(__xludf.DUMMYFUNCTION("GOOGLETRANSLATE(J27,""he"",""en"")"),"Bamba Nougat mildly sweet 60 grams")</f>
        <v>Bamba Nougat mildly sweet 60 grams</v>
      </c>
      <c r="L27" s="104" t="s">
        <v>267</v>
      </c>
      <c r="M27" s="105" t="s">
        <v>6309</v>
      </c>
      <c r="N27" s="108" t="s">
        <v>6325</v>
      </c>
      <c r="O27" s="109"/>
      <c r="P27" s="109"/>
      <c r="Q27" s="115" t="s">
        <v>268</v>
      </c>
      <c r="R27" s="116"/>
      <c r="S27" s="117"/>
      <c r="T27" s="121"/>
      <c r="U27" s="102"/>
      <c r="V27" s="102"/>
      <c r="W27" s="102"/>
      <c r="X27" s="102"/>
      <c r="Y27" s="102"/>
      <c r="Z27" s="102"/>
      <c r="AA27" s="102"/>
      <c r="AB27" s="102"/>
      <c r="AC27" s="113"/>
      <c r="AD27" s="113"/>
      <c r="AE27" s="113"/>
    </row>
    <row r="28">
      <c r="A28" s="114">
        <v>7.290104508943E12</v>
      </c>
      <c r="B28" s="104" t="str">
        <f t="shared" si="1"/>
        <v>Bamba_Sunburn Classic Bamba 18 x 200 g</v>
      </c>
      <c r="C28" s="105">
        <v>0.19</v>
      </c>
      <c r="D28" s="105">
        <v>0.25</v>
      </c>
      <c r="E28" s="105">
        <v>0.07</v>
      </c>
      <c r="F28" s="106">
        <f>ROUND('Meta data'!$B$1/E28,0)</f>
        <v>4</v>
      </c>
      <c r="G28" s="107"/>
      <c r="H28" s="105" t="s">
        <v>245</v>
      </c>
      <c r="I28" s="105" t="str">
        <f>IFERROR(__xludf.DUMMYFUNCTION("GOOGLETRANSLATE(H28,""he"",""en"")"),"Bamba")</f>
        <v>Bamba</v>
      </c>
      <c r="J28" s="105" t="s">
        <v>270</v>
      </c>
      <c r="K28" s="105" t="str">
        <f>IFERROR(__xludf.DUMMYFUNCTION("GOOGLETRANSLATE(J28,""he"",""en"")"),"Sunburn Classic Bamba 18 x 200 g")</f>
        <v>Sunburn Classic Bamba 18 x 200 g</v>
      </c>
      <c r="L28" s="104" t="s">
        <v>272</v>
      </c>
      <c r="M28" s="105" t="s">
        <v>6309</v>
      </c>
      <c r="N28" s="108" t="s">
        <v>6325</v>
      </c>
      <c r="O28" s="109"/>
      <c r="P28" s="109"/>
      <c r="Q28" s="111" t="s">
        <v>273</v>
      </c>
      <c r="R28" s="111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13"/>
      <c r="AD28" s="113"/>
      <c r="AE28" s="113"/>
    </row>
    <row r="29">
      <c r="A29" s="114">
        <v>7.290006855039E12</v>
      </c>
      <c r="B29" s="104" t="str">
        <f t="shared" si="1"/>
        <v>Barbari_Almond nuts snack bar raisins and honey, 27 grams</v>
      </c>
      <c r="C29" s="105">
        <v>0.125</v>
      </c>
      <c r="D29" s="105">
        <v>0.03</v>
      </c>
      <c r="E29" s="105">
        <v>0.01</v>
      </c>
      <c r="F29" s="106">
        <f>ROUND('Meta data'!$B$1/E29,0)</f>
        <v>30</v>
      </c>
      <c r="G29" s="107"/>
      <c r="H29" s="105" t="s">
        <v>275</v>
      </c>
      <c r="I29" s="119" t="s">
        <v>6326</v>
      </c>
      <c r="J29" s="105" t="s">
        <v>277</v>
      </c>
      <c r="K29" s="105" t="str">
        <f>IFERROR(__xludf.DUMMYFUNCTION("GOOGLETRANSLATE(J29,""he"",""en"")"),"Almond nuts snack bar raisins and honey, 27 grams")</f>
        <v>Almond nuts snack bar raisins and honey, 27 grams</v>
      </c>
      <c r="L29" s="104" t="s">
        <v>283</v>
      </c>
      <c r="M29" s="105" t="s">
        <v>280</v>
      </c>
      <c r="N29" s="108" t="s">
        <v>281</v>
      </c>
      <c r="O29" s="109"/>
      <c r="P29" s="109"/>
      <c r="Q29" s="115" t="s">
        <v>282</v>
      </c>
      <c r="R29" s="116"/>
      <c r="S29" s="117"/>
      <c r="T29" s="117"/>
      <c r="U29" s="117"/>
      <c r="V29" s="117"/>
      <c r="W29" s="102"/>
      <c r="X29" s="102"/>
      <c r="Y29" s="102"/>
      <c r="Z29" s="102"/>
      <c r="AA29" s="102"/>
      <c r="AB29" s="102"/>
      <c r="AC29" s="113"/>
      <c r="AD29" s="113"/>
      <c r="AE29" s="113"/>
    </row>
    <row r="30">
      <c r="A30" s="114">
        <v>7.290006855046E12</v>
      </c>
      <c r="B30" s="104" t="str">
        <f t="shared" si="1"/>
        <v>Barbari_Snack bar and cashew cereals cranberry, 27 grams</v>
      </c>
      <c r="C30" s="105">
        <v>0.125</v>
      </c>
      <c r="D30" s="105">
        <v>0.03</v>
      </c>
      <c r="E30" s="105">
        <v>0.01</v>
      </c>
      <c r="F30" s="106">
        <f>ROUND('Meta data'!$B$1/E30,0)</f>
        <v>30</v>
      </c>
      <c r="G30" s="107"/>
      <c r="H30" s="105" t="s">
        <v>275</v>
      </c>
      <c r="I30" s="119" t="s">
        <v>6326</v>
      </c>
      <c r="J30" s="105" t="s">
        <v>292</v>
      </c>
      <c r="K30" s="105" t="str">
        <f>IFERROR(__xludf.DUMMYFUNCTION("GOOGLETRANSLATE(J30,""he"",""en"")"),"Snack bar and cashew cereals cranberry, 27 grams")</f>
        <v>Snack bar and cashew cereals cranberry, 27 grams</v>
      </c>
      <c r="L30" s="104" t="s">
        <v>296</v>
      </c>
      <c r="M30" s="105" t="s">
        <v>280</v>
      </c>
      <c r="N30" s="108" t="s">
        <v>281</v>
      </c>
      <c r="O30" s="109"/>
      <c r="P30" s="109"/>
      <c r="Q30" s="115" t="s">
        <v>295</v>
      </c>
      <c r="R30" s="116"/>
      <c r="S30" s="117"/>
      <c r="T30" s="117"/>
      <c r="U30" s="117"/>
      <c r="V30" s="117"/>
      <c r="W30" s="102"/>
      <c r="X30" s="102"/>
      <c r="Y30" s="102"/>
      <c r="Z30" s="102"/>
      <c r="AA30" s="102"/>
      <c r="AB30" s="102"/>
      <c r="AC30" s="113"/>
      <c r="AD30" s="113"/>
      <c r="AE30" s="113"/>
    </row>
    <row r="31">
      <c r="A31" s="114">
        <v>7.290006855008E12</v>
      </c>
      <c r="B31" s="104" t="str">
        <f t="shared" si="1"/>
        <v>Barbari_Snack Bar cereals dates and nuts, 30 g</v>
      </c>
      <c r="C31" s="105">
        <v>0.125</v>
      </c>
      <c r="D31" s="105">
        <v>0.03</v>
      </c>
      <c r="E31" s="105">
        <v>0.01</v>
      </c>
      <c r="F31" s="106">
        <f>ROUND('Meta data'!$B$1/E31,0)</f>
        <v>30</v>
      </c>
      <c r="G31" s="107"/>
      <c r="H31" s="105" t="s">
        <v>275</v>
      </c>
      <c r="I31" s="119" t="s">
        <v>6326</v>
      </c>
      <c r="J31" s="105" t="s">
        <v>298</v>
      </c>
      <c r="K31" s="105" t="str">
        <f>IFERROR(__xludf.DUMMYFUNCTION("GOOGLETRANSLATE(J31,""he"",""en"")"),"Snack Bar cereals dates and nuts, 30 g")</f>
        <v>Snack Bar cereals dates and nuts, 30 g</v>
      </c>
      <c r="L31" s="104" t="s">
        <v>302</v>
      </c>
      <c r="M31" s="105" t="s">
        <v>280</v>
      </c>
      <c r="N31" s="108" t="s">
        <v>281</v>
      </c>
      <c r="O31" s="109"/>
      <c r="P31" s="109"/>
      <c r="Q31" s="115" t="s">
        <v>301</v>
      </c>
      <c r="R31" s="116"/>
      <c r="S31" s="117"/>
      <c r="T31" s="117"/>
      <c r="U31" s="118"/>
      <c r="V31" s="117"/>
      <c r="W31" s="102"/>
      <c r="X31" s="102"/>
      <c r="Y31" s="102"/>
      <c r="Z31" s="102"/>
      <c r="AA31" s="102"/>
      <c r="AB31" s="102"/>
      <c r="AC31" s="113"/>
      <c r="AD31" s="113"/>
      <c r="AE31" s="113"/>
    </row>
    <row r="32">
      <c r="A32" s="114">
        <v>7.290006855015E12</v>
      </c>
      <c r="B32" s="104" t="str">
        <f t="shared" si="1"/>
        <v>Barbari_Palm and banana snack gluten - Barbariana</v>
      </c>
      <c r="C32" s="105">
        <v>0.125</v>
      </c>
      <c r="D32" s="105">
        <v>0.03</v>
      </c>
      <c r="E32" s="105">
        <v>0.01</v>
      </c>
      <c r="F32" s="106">
        <f>ROUND('Meta data'!$B$1/E32,0)</f>
        <v>30</v>
      </c>
      <c r="G32" s="107"/>
      <c r="H32" s="105" t="s">
        <v>275</v>
      </c>
      <c r="I32" s="119" t="s">
        <v>6326</v>
      </c>
      <c r="J32" s="105" t="s">
        <v>286</v>
      </c>
      <c r="K32" s="105" t="str">
        <f>IFERROR(__xludf.DUMMYFUNCTION("GOOGLETRANSLATE(J32,""he"",""en"")"),"Palm and banana snack gluten - Barbariana")</f>
        <v>Palm and banana snack gluten - Barbariana</v>
      </c>
      <c r="L32" s="104" t="s">
        <v>290</v>
      </c>
      <c r="M32" s="105" t="s">
        <v>280</v>
      </c>
      <c r="N32" s="108" t="s">
        <v>281</v>
      </c>
      <c r="O32" s="109"/>
      <c r="P32" s="109"/>
      <c r="Q32" s="115" t="s">
        <v>289</v>
      </c>
      <c r="R32" s="116"/>
      <c r="S32" s="117"/>
      <c r="T32" s="117"/>
      <c r="U32" s="102"/>
      <c r="V32" s="102"/>
      <c r="W32" s="102"/>
      <c r="X32" s="102"/>
      <c r="Y32" s="102"/>
      <c r="Z32" s="102"/>
      <c r="AA32" s="102"/>
      <c r="AB32" s="102"/>
      <c r="AC32" s="113"/>
      <c r="AD32" s="113"/>
      <c r="AE32" s="113"/>
    </row>
    <row r="33">
      <c r="A33" s="114">
        <v>7.290102035007E12</v>
      </c>
      <c r="B33" s="104" t="str">
        <f t="shared" si="1"/>
        <v>bazooka_Bubble gum without sugar, 28 grams</v>
      </c>
      <c r="C33" s="105">
        <v>0.046</v>
      </c>
      <c r="D33" s="105">
        <v>0.076</v>
      </c>
      <c r="E33" s="105">
        <v>0.02</v>
      </c>
      <c r="F33" s="106">
        <f>ROUND('Meta data'!$B$1/E33,0)</f>
        <v>15</v>
      </c>
      <c r="G33" s="107"/>
      <c r="H33" s="105" t="s">
        <v>304</v>
      </c>
      <c r="I33" s="105" t="str">
        <f>IFERROR(__xludf.DUMMYFUNCTION("GOOGLETRANSLATE(H33,""he"",""en"")"),"bazooka")</f>
        <v>bazooka</v>
      </c>
      <c r="J33" s="105" t="s">
        <v>306</v>
      </c>
      <c r="K33" s="105" t="str">
        <f>IFERROR(__xludf.DUMMYFUNCTION("GOOGLETRANSLATE(J33,""he"",""en"")"),"Bubble gum without sugar, 28 grams")</f>
        <v>Bubble gum without sugar, 28 grams</v>
      </c>
      <c r="L33" s="104" t="s">
        <v>312</v>
      </c>
      <c r="M33" s="105" t="s">
        <v>6327</v>
      </c>
      <c r="N33" s="108" t="s">
        <v>6328</v>
      </c>
      <c r="O33" s="109"/>
      <c r="P33" s="109"/>
      <c r="Q33" s="115" t="s">
        <v>311</v>
      </c>
      <c r="R33" s="116"/>
      <c r="S33" s="117"/>
      <c r="T33" s="118"/>
      <c r="U33" s="117"/>
      <c r="V33" s="102"/>
      <c r="W33" s="102"/>
      <c r="X33" s="102"/>
      <c r="Y33" s="102"/>
      <c r="Z33" s="102"/>
      <c r="AA33" s="102"/>
      <c r="AB33" s="102"/>
      <c r="AC33" s="113"/>
      <c r="AD33" s="113"/>
      <c r="AE33" s="113"/>
    </row>
    <row r="34">
      <c r="A34" s="114">
        <v>7.290112358752E12</v>
      </c>
      <c r="B34" s="104" t="str">
        <f t="shared" si="1"/>
        <v>BeanZ_BeanZ cold milky coffee can of 250ml</v>
      </c>
      <c r="C34" s="105">
        <v>0.05</v>
      </c>
      <c r="D34" s="105">
        <v>0.135</v>
      </c>
      <c r="E34" s="105">
        <v>0.05</v>
      </c>
      <c r="F34" s="106">
        <f>ROUND('Meta data'!$B$1/E34,0)</f>
        <v>6</v>
      </c>
      <c r="G34" s="107"/>
      <c r="H34" s="122" t="s">
        <v>5168</v>
      </c>
      <c r="I34" s="105" t="str">
        <f>IFERROR(__xludf.DUMMYFUNCTION("GOOGLETRANSLATE(H34,""he"",""en"")"),"BeanZ")</f>
        <v>BeanZ</v>
      </c>
      <c r="J34" s="105" t="s">
        <v>337</v>
      </c>
      <c r="K34" s="105" t="str">
        <f>IFERROR(__xludf.DUMMYFUNCTION("GOOGLETRANSLATE(J34,""he"",""en"")"),"BeanZ cold milky coffee can of 250ml")</f>
        <v>BeanZ cold milky coffee can of 250ml</v>
      </c>
      <c r="L34" s="104" t="s">
        <v>343</v>
      </c>
      <c r="M34" s="105" t="s">
        <v>6329</v>
      </c>
      <c r="N34" s="108" t="s">
        <v>6330</v>
      </c>
      <c r="O34" s="109"/>
      <c r="P34" s="109"/>
      <c r="Q34" s="111" t="s">
        <v>342</v>
      </c>
      <c r="R34" s="115"/>
      <c r="S34" s="112"/>
      <c r="T34" s="102"/>
      <c r="U34" s="102"/>
      <c r="V34" s="102"/>
      <c r="W34" s="102"/>
      <c r="X34" s="102"/>
      <c r="Y34" s="102"/>
      <c r="Z34" s="102"/>
      <c r="AA34" s="102"/>
      <c r="AB34" s="102"/>
      <c r="AC34" s="113"/>
      <c r="AD34" s="113"/>
      <c r="AE34" s="113"/>
    </row>
    <row r="35">
      <c r="A35" s="114">
        <v>7.290112347718E12</v>
      </c>
      <c r="B35" s="104" t="str">
        <f t="shared" si="1"/>
        <v>BeanZ_BeanZ iced coffee without milk and sugar in a can of 250 "</v>
      </c>
      <c r="C35" s="105">
        <v>0.05</v>
      </c>
      <c r="D35" s="105">
        <v>0.135</v>
      </c>
      <c r="E35" s="105">
        <v>0.05</v>
      </c>
      <c r="F35" s="106">
        <f>ROUND('Meta data'!$B$1/E35,0)</f>
        <v>6</v>
      </c>
      <c r="G35" s="107"/>
      <c r="H35" s="122" t="s">
        <v>5168</v>
      </c>
      <c r="I35" s="105" t="str">
        <f>IFERROR(__xludf.DUMMYFUNCTION("GOOGLETRANSLATE(H35,""he"",""en"")"),"BeanZ")</f>
        <v>BeanZ</v>
      </c>
      <c r="J35" s="105" t="s">
        <v>346</v>
      </c>
      <c r="K35" s="105" t="str">
        <f>IFERROR(__xludf.DUMMYFUNCTION("GOOGLETRANSLATE(J35,""he"",""en"")"),"BeanZ iced coffee without milk and sugar in a can of 250 """)</f>
        <v>BeanZ iced coffee without milk and sugar in a can of 250 "</v>
      </c>
      <c r="L35" s="104" t="s">
        <v>350</v>
      </c>
      <c r="M35" s="105" t="s">
        <v>6329</v>
      </c>
      <c r="N35" s="108" t="s">
        <v>6330</v>
      </c>
      <c r="O35" s="109"/>
      <c r="P35" s="109"/>
      <c r="Q35" s="111" t="s">
        <v>349</v>
      </c>
      <c r="R35" s="111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13"/>
      <c r="AD35" s="113"/>
      <c r="AE35" s="113"/>
    </row>
    <row r="36">
      <c r="A36" s="114">
        <v>7.290112347725E12</v>
      </c>
      <c r="B36" s="104" t="str">
        <f t="shared" si="1"/>
        <v>BeanZ_Iced coffee with a little sweetness BeanZ can of 250ml</v>
      </c>
      <c r="C36" s="105">
        <v>0.05</v>
      </c>
      <c r="D36" s="105">
        <v>0.135</v>
      </c>
      <c r="E36" s="105">
        <v>0.05</v>
      </c>
      <c r="F36" s="106">
        <f>ROUND('Meta data'!$B$1/E36,0)</f>
        <v>6</v>
      </c>
      <c r="G36" s="107"/>
      <c r="H36" s="122" t="s">
        <v>5168</v>
      </c>
      <c r="I36" s="105" t="str">
        <f>IFERROR(__xludf.DUMMYFUNCTION("GOOGLETRANSLATE(H36,""he"",""en"")"),"BeanZ")</f>
        <v>BeanZ</v>
      </c>
      <c r="J36" s="105" t="s">
        <v>353</v>
      </c>
      <c r="K36" s="105" t="str">
        <f>IFERROR(__xludf.DUMMYFUNCTION("GOOGLETRANSLATE(J36,""he"",""en"")"),"Iced coffee with a little sweetness BeanZ can of 250ml")</f>
        <v>Iced coffee with a little sweetness BeanZ can of 250ml</v>
      </c>
      <c r="L36" s="104" t="s">
        <v>357</v>
      </c>
      <c r="M36" s="105" t="s">
        <v>6329</v>
      </c>
      <c r="N36" s="108" t="s">
        <v>6330</v>
      </c>
      <c r="O36" s="109"/>
      <c r="P36" s="109"/>
      <c r="Q36" s="115" t="s">
        <v>356</v>
      </c>
      <c r="R36" s="111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13"/>
      <c r="AD36" s="113"/>
      <c r="AE36" s="113"/>
    </row>
    <row r="37">
      <c r="A37" s="114">
        <v>7.290111564956E12</v>
      </c>
      <c r="B37" s="104" t="str">
        <f t="shared" si="1"/>
        <v>Beasley_Beasley Bamba Mix 18 x 200 g</v>
      </c>
      <c r="C37" s="105">
        <v>0.19</v>
      </c>
      <c r="D37" s="105">
        <v>0.25</v>
      </c>
      <c r="E37" s="105">
        <v>0.07</v>
      </c>
      <c r="F37" s="106">
        <f>ROUND('Meta data'!$B$1/E37,0)</f>
        <v>4</v>
      </c>
      <c r="G37" s="107"/>
      <c r="H37" s="105" t="s">
        <v>370</v>
      </c>
      <c r="I37" s="105" t="str">
        <f>IFERROR(__xludf.DUMMYFUNCTION("GOOGLETRANSLATE(H37,""he"",""en"")"),"Beasley")</f>
        <v>Beasley</v>
      </c>
      <c r="J37" s="105" t="s">
        <v>372</v>
      </c>
      <c r="K37" s="105" t="str">
        <f>IFERROR(__xludf.DUMMYFUNCTION("GOOGLETRANSLATE(J37,""he"",""en"")"),"Beasley Bamba Mix 18 x 200 g")</f>
        <v>Beasley Bamba Mix 18 x 200 g</v>
      </c>
      <c r="L37" s="104" t="s">
        <v>374</v>
      </c>
      <c r="M37" s="105" t="s">
        <v>6309</v>
      </c>
      <c r="N37" s="108" t="s">
        <v>6325</v>
      </c>
      <c r="O37" s="109"/>
      <c r="P37" s="109"/>
      <c r="Q37" s="115" t="s">
        <v>375</v>
      </c>
      <c r="R37" s="116"/>
      <c r="S37" s="117"/>
      <c r="T37" s="117"/>
      <c r="U37" s="117"/>
      <c r="V37" s="118"/>
      <c r="W37" s="102"/>
      <c r="X37" s="102"/>
      <c r="Y37" s="102"/>
      <c r="Z37" s="102"/>
      <c r="AA37" s="102"/>
      <c r="AB37" s="102"/>
      <c r="AC37" s="113"/>
      <c r="AD37" s="113"/>
      <c r="AE37" s="113"/>
    </row>
    <row r="38">
      <c r="A38" s="114">
        <v>7.290000066202E12</v>
      </c>
      <c r="B38" s="104" t="str">
        <f t="shared" si="1"/>
        <v>Beasley_Beasley onion 190 g</v>
      </c>
      <c r="C38" s="105">
        <v>0.14</v>
      </c>
      <c r="D38" s="105">
        <v>0.26</v>
      </c>
      <c r="E38" s="105">
        <v>0.08</v>
      </c>
      <c r="F38" s="106">
        <f>ROUND('Meta data'!$B$1/E38,0)</f>
        <v>4</v>
      </c>
      <c r="G38" s="107"/>
      <c r="H38" s="105" t="s">
        <v>370</v>
      </c>
      <c r="I38" s="105" t="str">
        <f>IFERROR(__xludf.DUMMYFUNCTION("GOOGLETRANSLATE(H38,""he"",""en"")"),"Beasley")</f>
        <v>Beasley</v>
      </c>
      <c r="J38" s="105" t="s">
        <v>414</v>
      </c>
      <c r="K38" s="105" t="str">
        <f>IFERROR(__xludf.DUMMYFUNCTION("GOOGLETRANSLATE(J38,""he"",""en"")"),"Beasley onion 190 g")</f>
        <v>Beasley onion 190 g</v>
      </c>
      <c r="L38" s="104" t="s">
        <v>418</v>
      </c>
      <c r="M38" s="105" t="s">
        <v>6309</v>
      </c>
      <c r="N38" s="108" t="s">
        <v>6331</v>
      </c>
      <c r="O38" s="109"/>
      <c r="P38" s="109"/>
      <c r="Q38" s="115" t="s">
        <v>417</v>
      </c>
      <c r="R38" s="116"/>
      <c r="S38" s="117"/>
      <c r="T38" s="117"/>
      <c r="U38" s="118"/>
      <c r="V38" s="102"/>
      <c r="W38" s="102"/>
      <c r="X38" s="102"/>
      <c r="Y38" s="102"/>
      <c r="Z38" s="102"/>
      <c r="AA38" s="102"/>
      <c r="AB38" s="102"/>
      <c r="AC38" s="113"/>
      <c r="AD38" s="113"/>
      <c r="AE38" s="113"/>
    </row>
    <row r="39">
      <c r="A39" s="114">
        <v>7.290000066158E12</v>
      </c>
      <c r="B39" s="104" t="str">
        <f t="shared" si="1"/>
        <v>Beasley_Beasley onion 70 g</v>
      </c>
      <c r="C39" s="105">
        <v>0.102</v>
      </c>
      <c r="D39" s="105">
        <v>0.175</v>
      </c>
      <c r="E39" s="105">
        <v>0.03</v>
      </c>
      <c r="F39" s="106">
        <f>ROUND('Meta data'!$B$1/E39,0)</f>
        <v>10</v>
      </c>
      <c r="G39" s="107"/>
      <c r="H39" s="105" t="s">
        <v>370</v>
      </c>
      <c r="I39" s="105" t="str">
        <f>IFERROR(__xludf.DUMMYFUNCTION("GOOGLETRANSLATE(H39,""he"",""en"")"),"Beasley")</f>
        <v>Beasley</v>
      </c>
      <c r="J39" s="105" t="s">
        <v>420</v>
      </c>
      <c r="K39" s="105" t="str">
        <f>IFERROR(__xludf.DUMMYFUNCTION("GOOGLETRANSLATE(J39,""he"",""en"")"),"Beasley onion 70 g")</f>
        <v>Beasley onion 70 g</v>
      </c>
      <c r="L39" s="104" t="s">
        <v>424</v>
      </c>
      <c r="M39" s="105" t="s">
        <v>6309</v>
      </c>
      <c r="N39" s="108" t="s">
        <v>6331</v>
      </c>
      <c r="O39" s="109"/>
      <c r="P39" s="109"/>
      <c r="Q39" s="115" t="s">
        <v>423</v>
      </c>
      <c r="R39" s="116"/>
      <c r="S39" s="117"/>
      <c r="T39" s="117"/>
      <c r="U39" s="117"/>
      <c r="V39" s="118"/>
      <c r="W39" s="102"/>
      <c r="X39" s="102"/>
      <c r="Y39" s="102"/>
      <c r="Z39" s="102"/>
      <c r="AA39" s="102"/>
      <c r="AB39" s="102"/>
      <c r="AC39" s="113"/>
      <c r="AD39" s="113"/>
      <c r="AE39" s="113"/>
    </row>
    <row r="40">
      <c r="A40" s="114">
        <v>7.290000066219E12</v>
      </c>
      <c r="B40" s="104" t="str">
        <f t="shared" si="1"/>
        <v>Beasley_Beasley Barbecue 190 g</v>
      </c>
      <c r="C40" s="105">
        <v>0.14</v>
      </c>
      <c r="D40" s="105">
        <v>0.26</v>
      </c>
      <c r="E40" s="105">
        <v>0.08</v>
      </c>
      <c r="F40" s="106">
        <f>ROUND('Meta data'!$B$1/E40,0)</f>
        <v>4</v>
      </c>
      <c r="G40" s="107"/>
      <c r="H40" s="105" t="s">
        <v>370</v>
      </c>
      <c r="I40" s="105" t="str">
        <f>IFERROR(__xludf.DUMMYFUNCTION("GOOGLETRANSLATE(H40,""he"",""en"")"),"Beasley")</f>
        <v>Beasley</v>
      </c>
      <c r="J40" s="105" t="s">
        <v>377</v>
      </c>
      <c r="K40" s="105" t="str">
        <f>IFERROR(__xludf.DUMMYFUNCTION("GOOGLETRANSLATE(J40,""he"",""en"")"),"Beasley Barbecue 190 g")</f>
        <v>Beasley Barbecue 190 g</v>
      </c>
      <c r="L40" s="104" t="s">
        <v>382</v>
      </c>
      <c r="M40" s="105" t="s">
        <v>6309</v>
      </c>
      <c r="N40" s="108" t="s">
        <v>6331</v>
      </c>
      <c r="O40" s="109"/>
      <c r="P40" s="109"/>
      <c r="Q40" s="115" t="s">
        <v>381</v>
      </c>
      <c r="R40" s="116"/>
      <c r="S40" s="117"/>
      <c r="T40" s="118"/>
      <c r="U40" s="117"/>
      <c r="V40" s="102"/>
      <c r="W40" s="102"/>
      <c r="X40" s="102"/>
      <c r="Y40" s="102"/>
      <c r="Z40" s="102"/>
      <c r="AA40" s="102"/>
      <c r="AB40" s="102"/>
      <c r="AC40" s="113"/>
      <c r="AD40" s="113"/>
      <c r="AE40" s="113"/>
    </row>
    <row r="41">
      <c r="A41" s="114">
        <v>7.290000066165E12</v>
      </c>
      <c r="B41" s="104" t="str">
        <f t="shared" si="1"/>
        <v>Beasley_Beasley barbecue 70 g</v>
      </c>
      <c r="C41" s="105">
        <v>0.102</v>
      </c>
      <c r="D41" s="105">
        <v>0.175</v>
      </c>
      <c r="E41" s="105">
        <v>0.03</v>
      </c>
      <c r="F41" s="106">
        <f>ROUND('Meta data'!$B$1/E41,0)</f>
        <v>10</v>
      </c>
      <c r="G41" s="107"/>
      <c r="H41" s="105" t="s">
        <v>370</v>
      </c>
      <c r="I41" s="105" t="str">
        <f>IFERROR(__xludf.DUMMYFUNCTION("GOOGLETRANSLATE(H41,""he"",""en"")"),"Beasley")</f>
        <v>Beasley</v>
      </c>
      <c r="J41" s="105" t="s">
        <v>384</v>
      </c>
      <c r="K41" s="105" t="str">
        <f>IFERROR(__xludf.DUMMYFUNCTION("GOOGLETRANSLATE(J41,""he"",""en"")"),"Beasley barbecue 70 g")</f>
        <v>Beasley barbecue 70 g</v>
      </c>
      <c r="L41" s="104" t="s">
        <v>388</v>
      </c>
      <c r="M41" s="105" t="s">
        <v>6309</v>
      </c>
      <c r="N41" s="108" t="s">
        <v>6331</v>
      </c>
      <c r="O41" s="109"/>
      <c r="P41" s="109"/>
      <c r="Q41" s="115" t="s">
        <v>387</v>
      </c>
      <c r="R41" s="123"/>
      <c r="S41" s="117"/>
      <c r="T41" s="117"/>
      <c r="U41" s="102"/>
      <c r="V41" s="102"/>
      <c r="W41" s="102"/>
      <c r="X41" s="102"/>
      <c r="Y41" s="102"/>
      <c r="Z41" s="102"/>
      <c r="AA41" s="102"/>
      <c r="AB41" s="102"/>
      <c r="AC41" s="113"/>
      <c r="AD41" s="113"/>
      <c r="AE41" s="113"/>
    </row>
    <row r="42">
      <c r="A42" s="114">
        <v>7.290000066196E12</v>
      </c>
      <c r="B42" s="104" t="str">
        <f t="shared" si="1"/>
        <v>Beasley_Beasley Grill 200g</v>
      </c>
      <c r="C42" s="105">
        <v>0.14</v>
      </c>
      <c r="D42" s="105">
        <v>0.26</v>
      </c>
      <c r="E42" s="105">
        <v>0.07</v>
      </c>
      <c r="F42" s="106">
        <f>ROUND('Meta data'!$B$1/E42,0)</f>
        <v>4</v>
      </c>
      <c r="G42" s="107"/>
      <c r="H42" s="105" t="s">
        <v>370</v>
      </c>
      <c r="I42" s="105" t="str">
        <f>IFERROR(__xludf.DUMMYFUNCTION("GOOGLETRANSLATE(H42,""he"",""en"")"),"Beasley")</f>
        <v>Beasley</v>
      </c>
      <c r="J42" s="105" t="s">
        <v>402</v>
      </c>
      <c r="K42" s="105" t="str">
        <f>IFERROR(__xludf.DUMMYFUNCTION("GOOGLETRANSLATE(J42,""he"",""en"")"),"Beasley Grill 200g")</f>
        <v>Beasley Grill 200g</v>
      </c>
      <c r="L42" s="104" t="s">
        <v>406</v>
      </c>
      <c r="M42" s="105" t="s">
        <v>6309</v>
      </c>
      <c r="N42" s="108" t="s">
        <v>6331</v>
      </c>
      <c r="O42" s="109"/>
      <c r="P42" s="109"/>
      <c r="Q42" s="115" t="s">
        <v>405</v>
      </c>
      <c r="R42" s="101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13"/>
      <c r="AD42" s="113"/>
      <c r="AE42" s="113"/>
    </row>
    <row r="43">
      <c r="A43" s="114">
        <v>7.290000066141E12</v>
      </c>
      <c r="B43" s="104" t="str">
        <f t="shared" si="1"/>
        <v>Beasley_Beasley Grill 70 g</v>
      </c>
      <c r="C43" s="105">
        <v>0.102</v>
      </c>
      <c r="D43" s="105">
        <v>0.175</v>
      </c>
      <c r="E43" s="105">
        <v>0.03</v>
      </c>
      <c r="F43" s="106">
        <f>ROUND('Meta data'!$B$1/E43,0)</f>
        <v>10</v>
      </c>
      <c r="G43" s="107"/>
      <c r="H43" s="105" t="s">
        <v>370</v>
      </c>
      <c r="I43" s="105" t="str">
        <f>IFERROR(__xludf.DUMMYFUNCTION("GOOGLETRANSLATE(H43,""he"",""en"")"),"Beasley")</f>
        <v>Beasley</v>
      </c>
      <c r="J43" s="105" t="s">
        <v>408</v>
      </c>
      <c r="K43" s="105" t="str">
        <f>IFERROR(__xludf.DUMMYFUNCTION("GOOGLETRANSLATE(J43,""he"",""en"")"),"Beasley Grill 70 g")</f>
        <v>Beasley Grill 70 g</v>
      </c>
      <c r="L43" s="104" t="s">
        <v>412</v>
      </c>
      <c r="M43" s="105" t="s">
        <v>6309</v>
      </c>
      <c r="N43" s="108" t="s">
        <v>6331</v>
      </c>
      <c r="O43" s="109"/>
      <c r="P43" s="109"/>
      <c r="Q43" s="115" t="s">
        <v>411</v>
      </c>
      <c r="R43" s="116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13"/>
      <c r="AD43" s="113"/>
      <c r="AE43" s="113"/>
    </row>
    <row r="44">
      <c r="A44" s="114">
        <v>7.290111568206E12</v>
      </c>
      <c r="B44" s="104" t="str">
        <f t="shared" si="1"/>
        <v>Beasley_Beasley Party Mix 24 * 150 g</v>
      </c>
      <c r="C44" s="105">
        <v>0.128</v>
      </c>
      <c r="D44" s="105">
        <v>0.23</v>
      </c>
      <c r="E44" s="105">
        <v>0.056</v>
      </c>
      <c r="F44" s="106">
        <f>ROUND('Meta data'!$B$1/E44,0)</f>
        <v>5</v>
      </c>
      <c r="G44" s="107"/>
      <c r="H44" s="105" t="s">
        <v>370</v>
      </c>
      <c r="I44" s="105" t="str">
        <f>IFERROR(__xludf.DUMMYFUNCTION("GOOGLETRANSLATE(H44,""he"",""en"")"),"Beasley")</f>
        <v>Beasley</v>
      </c>
      <c r="J44" s="105" t="s">
        <v>426</v>
      </c>
      <c r="K44" s="105" t="str">
        <f>IFERROR(__xludf.DUMMYFUNCTION("GOOGLETRANSLATE(J44,""he"",""en"")"),"Beasley Party Mix 24 * 150 g")</f>
        <v>Beasley Party Mix 24 * 150 g</v>
      </c>
      <c r="L44" s="104" t="s">
        <v>428</v>
      </c>
      <c r="M44" s="105" t="s">
        <v>6309</v>
      </c>
      <c r="N44" s="108" t="s">
        <v>6331</v>
      </c>
      <c r="O44" s="109"/>
      <c r="P44" s="109"/>
      <c r="Q44" s="115" t="s">
        <v>429</v>
      </c>
      <c r="R44" s="101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13"/>
      <c r="AD44" s="113"/>
      <c r="AE44" s="113"/>
    </row>
    <row r="45">
      <c r="A45" s="114">
        <v>7.290000066226E12</v>
      </c>
      <c r="B45" s="104" t="str">
        <f t="shared" si="1"/>
        <v>Beasley_Beasley Pizza 200g</v>
      </c>
      <c r="C45" s="105">
        <v>0.14</v>
      </c>
      <c r="D45" s="105">
        <v>0.26</v>
      </c>
      <c r="E45" s="105">
        <v>0.03</v>
      </c>
      <c r="F45" s="106">
        <f>ROUND('Meta data'!$B$1/E45,0)</f>
        <v>10</v>
      </c>
      <c r="G45" s="107"/>
      <c r="H45" s="105" t="s">
        <v>370</v>
      </c>
      <c r="I45" s="105" t="str">
        <f>IFERROR(__xludf.DUMMYFUNCTION("GOOGLETRANSLATE(H45,""he"",""en"")"),"Beasley")</f>
        <v>Beasley</v>
      </c>
      <c r="J45" s="105" t="s">
        <v>431</v>
      </c>
      <c r="K45" s="105" t="str">
        <f>IFERROR(__xludf.DUMMYFUNCTION("GOOGLETRANSLATE(J45,""he"",""en"")"),"Beasley Pizza 200g")</f>
        <v>Beasley Pizza 200g</v>
      </c>
      <c r="L45" s="104" t="s">
        <v>435</v>
      </c>
      <c r="M45" s="105" t="s">
        <v>6309</v>
      </c>
      <c r="N45" s="108" t="s">
        <v>6331</v>
      </c>
      <c r="O45" s="109"/>
      <c r="P45" s="109"/>
      <c r="Q45" s="115" t="s">
        <v>434</v>
      </c>
      <c r="R45" s="101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13"/>
      <c r="AD45" s="113"/>
      <c r="AE45" s="113"/>
    </row>
    <row r="46">
      <c r="A46" s="114">
        <v>7.290000066172E12</v>
      </c>
      <c r="B46" s="104" t="str">
        <f t="shared" si="1"/>
        <v>Beasley_Beasley pizza 70 g</v>
      </c>
      <c r="C46" s="105">
        <v>0.102</v>
      </c>
      <c r="D46" s="105">
        <v>0.175</v>
      </c>
      <c r="E46" s="105">
        <v>0.03</v>
      </c>
      <c r="F46" s="106">
        <f>ROUND('Meta data'!$B$1/E46,0)</f>
        <v>10</v>
      </c>
      <c r="G46" s="107"/>
      <c r="H46" s="105" t="s">
        <v>370</v>
      </c>
      <c r="I46" s="105" t="str">
        <f>IFERROR(__xludf.DUMMYFUNCTION("GOOGLETRANSLATE(H46,""he"",""en"")"),"Beasley")</f>
        <v>Beasley</v>
      </c>
      <c r="J46" s="105" t="s">
        <v>437</v>
      </c>
      <c r="K46" s="105" t="str">
        <f>IFERROR(__xludf.DUMMYFUNCTION("GOOGLETRANSLATE(J46,""he"",""en"")"),"Beasley pizza 70 g")</f>
        <v>Beasley pizza 70 g</v>
      </c>
      <c r="L46" s="104" t="s">
        <v>441</v>
      </c>
      <c r="M46" s="105" t="s">
        <v>6309</v>
      </c>
      <c r="N46" s="108" t="s">
        <v>6331</v>
      </c>
      <c r="O46" s="109"/>
      <c r="P46" s="109"/>
      <c r="Q46" s="115" t="s">
        <v>440</v>
      </c>
      <c r="R46" s="101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13"/>
      <c r="AD46" s="113"/>
      <c r="AE46" s="113"/>
    </row>
    <row r="47">
      <c r="A47" s="114">
        <v>7.290000066189E12</v>
      </c>
      <c r="B47" s="104" t="str">
        <f t="shared" si="1"/>
        <v>Beasley_Beasley falafel 200g</v>
      </c>
      <c r="C47" s="105">
        <v>0.14</v>
      </c>
      <c r="D47" s="105">
        <v>0.26</v>
      </c>
      <c r="E47" s="105">
        <v>0.02</v>
      </c>
      <c r="F47" s="106">
        <f>ROUND('Meta data'!$B$1/E47,0)</f>
        <v>15</v>
      </c>
      <c r="G47" s="107"/>
      <c r="H47" s="105" t="s">
        <v>370</v>
      </c>
      <c r="I47" s="105" t="str">
        <f>IFERROR(__xludf.DUMMYFUNCTION("GOOGLETRANSLATE(H47,""he"",""en"")"),"Beasley")</f>
        <v>Beasley</v>
      </c>
      <c r="J47" s="105" t="s">
        <v>390</v>
      </c>
      <c r="K47" s="105" t="str">
        <f>IFERROR(__xludf.DUMMYFUNCTION("GOOGLETRANSLATE(J47,""he"",""en"")"),"Beasley falafel 200g")</f>
        <v>Beasley falafel 200g</v>
      </c>
      <c r="L47" s="104" t="s">
        <v>394</v>
      </c>
      <c r="M47" s="105" t="s">
        <v>6309</v>
      </c>
      <c r="N47" s="108" t="s">
        <v>6331</v>
      </c>
      <c r="O47" s="109"/>
      <c r="P47" s="109"/>
      <c r="Q47" s="115" t="s">
        <v>393</v>
      </c>
      <c r="R47" s="116"/>
      <c r="S47" s="117"/>
      <c r="T47" s="117"/>
      <c r="U47" s="117"/>
      <c r="V47" s="102"/>
      <c r="W47" s="102"/>
      <c r="X47" s="102"/>
      <c r="Y47" s="102"/>
      <c r="Z47" s="102"/>
      <c r="AA47" s="102"/>
      <c r="AB47" s="102"/>
      <c r="AC47" s="113"/>
      <c r="AD47" s="113"/>
      <c r="AE47" s="113"/>
    </row>
    <row r="48">
      <c r="A48" s="114">
        <v>7.290000066172E12</v>
      </c>
      <c r="B48" s="104" t="str">
        <f t="shared" si="1"/>
        <v>Beasley_Beasley falafel 70 g</v>
      </c>
      <c r="C48" s="105">
        <v>0.102</v>
      </c>
      <c r="D48" s="105">
        <v>0.175</v>
      </c>
      <c r="E48" s="105">
        <v>0.03</v>
      </c>
      <c r="F48" s="106">
        <f>ROUND('Meta data'!$B$1/E48,0)</f>
        <v>10</v>
      </c>
      <c r="G48" s="107"/>
      <c r="H48" s="105" t="s">
        <v>370</v>
      </c>
      <c r="I48" s="105" t="str">
        <f>IFERROR(__xludf.DUMMYFUNCTION("GOOGLETRANSLATE(H48,""he"",""en"")"),"Beasley")</f>
        <v>Beasley</v>
      </c>
      <c r="J48" s="105" t="s">
        <v>396</v>
      </c>
      <c r="K48" s="105" t="str">
        <f>IFERROR(__xludf.DUMMYFUNCTION("GOOGLETRANSLATE(J48,""he"",""en"")"),"Beasley falafel 70 g")</f>
        <v>Beasley falafel 70 g</v>
      </c>
      <c r="L48" s="104" t="s">
        <v>400</v>
      </c>
      <c r="M48" s="105" t="s">
        <v>6309</v>
      </c>
      <c r="N48" s="108" t="s">
        <v>6331</v>
      </c>
      <c r="O48" s="109"/>
      <c r="P48" s="109"/>
      <c r="Q48" s="111" t="s">
        <v>399</v>
      </c>
      <c r="R48" s="116"/>
      <c r="S48" s="117"/>
      <c r="T48" s="117"/>
      <c r="U48" s="117"/>
      <c r="V48" s="102"/>
      <c r="W48" s="102"/>
      <c r="X48" s="102"/>
      <c r="Y48" s="102"/>
      <c r="Z48" s="102"/>
      <c r="AA48" s="102"/>
      <c r="AB48" s="102"/>
      <c r="AC48" s="113"/>
      <c r="AD48" s="113"/>
      <c r="AE48" s="113"/>
    </row>
    <row r="49">
      <c r="A49" s="114">
        <v>4.2061939E7</v>
      </c>
      <c r="B49" s="104" t="str">
        <f t="shared" si="1"/>
        <v>Becks_Becks beer 500 ml</v>
      </c>
      <c r="C49" s="105">
        <v>0.06</v>
      </c>
      <c r="D49" s="105">
        <v>0.22</v>
      </c>
      <c r="E49" s="105">
        <v>0.06</v>
      </c>
      <c r="F49" s="106">
        <f>ROUND('Meta data'!$B$1/E49,0)</f>
        <v>5</v>
      </c>
      <c r="G49" s="107"/>
      <c r="H49" s="105" t="s">
        <v>359</v>
      </c>
      <c r="I49" s="105" t="str">
        <f>IFERROR(__xludf.DUMMYFUNCTION("GOOGLETRANSLATE(H49,""he"",""en"")"),"Becks")</f>
        <v>Becks</v>
      </c>
      <c r="J49" s="105" t="s">
        <v>362</v>
      </c>
      <c r="K49" s="105" t="str">
        <f>IFERROR(__xludf.DUMMYFUNCTION("GOOGLETRANSLATE(J49,""he"",""en"")"),"Becks beer 500 ml")</f>
        <v>Becks beer 500 ml</v>
      </c>
      <c r="L49" s="104" t="s">
        <v>368</v>
      </c>
      <c r="M49" s="105" t="s">
        <v>6332</v>
      </c>
      <c r="N49" s="108" t="s">
        <v>6333</v>
      </c>
      <c r="O49" s="109"/>
      <c r="P49" s="109"/>
      <c r="Q49" s="115" t="s">
        <v>367</v>
      </c>
      <c r="R49" s="116"/>
      <c r="S49" s="118"/>
      <c r="T49" s="117"/>
      <c r="U49" s="102"/>
      <c r="V49" s="102"/>
      <c r="W49" s="102"/>
      <c r="X49" s="102"/>
      <c r="Y49" s="102"/>
      <c r="Z49" s="102"/>
      <c r="AA49" s="102"/>
      <c r="AB49" s="102"/>
      <c r="AC49" s="113"/>
      <c r="AD49" s="113"/>
      <c r="AE49" s="113"/>
    </row>
    <row r="50">
      <c r="A50" s="114">
        <v>5.904941751524E12</v>
      </c>
      <c r="B50" s="104" t="str">
        <f t="shared" si="1"/>
        <v>Blu_Blue Watermelon Energy Drink 250 ml</v>
      </c>
      <c r="C50" s="105">
        <v>0.053</v>
      </c>
      <c r="D50" s="105">
        <v>0.134</v>
      </c>
      <c r="E50" s="105">
        <v>0.053</v>
      </c>
      <c r="F50" s="106">
        <f>ROUND('Meta data'!$B$1/E50,0)</f>
        <v>6</v>
      </c>
      <c r="G50" s="107"/>
      <c r="H50" s="105" t="s">
        <v>443</v>
      </c>
      <c r="I50" s="119" t="s">
        <v>444</v>
      </c>
      <c r="J50" s="105" t="s">
        <v>477</v>
      </c>
      <c r="K50" s="105" t="str">
        <f>IFERROR(__xludf.DUMMYFUNCTION("GOOGLETRANSLATE(J50,""he"",""en"")"),"Blue Watermelon Energy Drink 250 ml")</f>
        <v>Blue Watermelon Energy Drink 250 ml</v>
      </c>
      <c r="L50" s="104" t="s">
        <v>481</v>
      </c>
      <c r="M50" s="105" t="s">
        <v>6329</v>
      </c>
      <c r="N50" s="108" t="s">
        <v>6334</v>
      </c>
      <c r="O50" s="109"/>
      <c r="P50" s="109"/>
      <c r="Q50" s="115" t="s">
        <v>480</v>
      </c>
      <c r="R50" s="116"/>
      <c r="S50" s="118"/>
      <c r="T50" s="117"/>
      <c r="U50" s="102"/>
      <c r="V50" s="102"/>
      <c r="W50" s="102"/>
      <c r="X50" s="102"/>
      <c r="Y50" s="102"/>
      <c r="Z50" s="102"/>
      <c r="AA50" s="102"/>
      <c r="AB50" s="102"/>
      <c r="AC50" s="113"/>
      <c r="AD50" s="113"/>
      <c r="AE50" s="113"/>
    </row>
    <row r="51">
      <c r="A51" s="114">
        <v>5.90494175192E12</v>
      </c>
      <c r="B51" s="104" t="str">
        <f t="shared" si="1"/>
        <v>Blu_Blue Day Energy Drink 250 ml</v>
      </c>
      <c r="C51" s="105">
        <v>0.053</v>
      </c>
      <c r="D51" s="105">
        <v>0.134</v>
      </c>
      <c r="E51" s="105">
        <v>0.053</v>
      </c>
      <c r="F51" s="106">
        <f>ROUND('Meta data'!$B$1/E51,0)</f>
        <v>6</v>
      </c>
      <c r="G51" s="107"/>
      <c r="H51" s="105" t="s">
        <v>443</v>
      </c>
      <c r="I51" s="119" t="s">
        <v>444</v>
      </c>
      <c r="J51" s="105" t="s">
        <v>446</v>
      </c>
      <c r="K51" s="105" t="str">
        <f>IFERROR(__xludf.DUMMYFUNCTION("GOOGLETRANSLATE(J51,""he"",""en"")"),"Blue Day Energy Drink 250 ml")</f>
        <v>Blue Day Energy Drink 250 ml</v>
      </c>
      <c r="L51" s="104" t="s">
        <v>451</v>
      </c>
      <c r="M51" s="105" t="s">
        <v>6329</v>
      </c>
      <c r="N51" s="108" t="s">
        <v>6334</v>
      </c>
      <c r="O51" s="109"/>
      <c r="P51" s="109"/>
      <c r="Q51" s="111" t="s">
        <v>450</v>
      </c>
      <c r="R51" s="111"/>
      <c r="S51" s="112"/>
      <c r="T51" s="102"/>
      <c r="U51" s="102"/>
      <c r="V51" s="102"/>
      <c r="W51" s="102"/>
      <c r="X51" s="102"/>
      <c r="Y51" s="102"/>
      <c r="Z51" s="102"/>
      <c r="AA51" s="102"/>
      <c r="AB51" s="102"/>
      <c r="AC51" s="113"/>
      <c r="AD51" s="113"/>
      <c r="AE51" s="113"/>
    </row>
    <row r="52">
      <c r="A52" s="114">
        <v>5.904941750312E12</v>
      </c>
      <c r="B52" s="104" t="str">
        <f t="shared" si="1"/>
        <v>Blu_Blue Mojito Energy Drink 250 ml</v>
      </c>
      <c r="C52" s="105">
        <v>0.053</v>
      </c>
      <c r="D52" s="105">
        <v>0.134</v>
      </c>
      <c r="E52" s="105">
        <v>0.053</v>
      </c>
      <c r="F52" s="106">
        <f>ROUND('Meta data'!$B$1/E52,0)</f>
        <v>6</v>
      </c>
      <c r="G52" s="107"/>
      <c r="H52" s="105" t="s">
        <v>443</v>
      </c>
      <c r="I52" s="119" t="s">
        <v>444</v>
      </c>
      <c r="J52" s="105" t="s">
        <v>471</v>
      </c>
      <c r="K52" s="105" t="str">
        <f>IFERROR(__xludf.DUMMYFUNCTION("GOOGLETRANSLATE(J52,""he"",""en"")"),"Blue Mojito Energy Drink 250 ml")</f>
        <v>Blue Mojito Energy Drink 250 ml</v>
      </c>
      <c r="L52" s="104" t="s">
        <v>475</v>
      </c>
      <c r="M52" s="105" t="s">
        <v>6329</v>
      </c>
      <c r="N52" s="108" t="s">
        <v>6334</v>
      </c>
      <c r="O52" s="109"/>
      <c r="P52" s="109"/>
      <c r="Q52" s="115" t="s">
        <v>474</v>
      </c>
      <c r="R52" s="111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13"/>
      <c r="AD52" s="113"/>
      <c r="AE52" s="113"/>
    </row>
    <row r="53">
      <c r="A53" s="114">
        <v>5.904941751302E12</v>
      </c>
      <c r="B53" s="104" t="str">
        <f t="shared" si="1"/>
        <v>Blu_Blue Energy Drink 250 ml</v>
      </c>
      <c r="C53" s="105">
        <v>0.053</v>
      </c>
      <c r="D53" s="105">
        <v>0.134</v>
      </c>
      <c r="E53" s="105">
        <v>0.053</v>
      </c>
      <c r="F53" s="106">
        <f>ROUND('Meta data'!$B$1/E53,0)</f>
        <v>6</v>
      </c>
      <c r="G53" s="107"/>
      <c r="H53" s="105" t="s">
        <v>443</v>
      </c>
      <c r="I53" s="119" t="s">
        <v>444</v>
      </c>
      <c r="J53" s="105" t="s">
        <v>459</v>
      </c>
      <c r="K53" s="105" t="str">
        <f>IFERROR(__xludf.DUMMYFUNCTION("GOOGLETRANSLATE(J53,""he"",""en"")"),"Blue Energy Drink 250 ml")</f>
        <v>Blue Energy Drink 250 ml</v>
      </c>
      <c r="L53" s="104" t="s">
        <v>463</v>
      </c>
      <c r="M53" s="105" t="s">
        <v>6329</v>
      </c>
      <c r="N53" s="108" t="s">
        <v>6334</v>
      </c>
      <c r="O53" s="109"/>
      <c r="P53" s="109"/>
      <c r="Q53" s="115" t="s">
        <v>462</v>
      </c>
      <c r="R53" s="116"/>
      <c r="S53" s="117"/>
      <c r="T53" s="117"/>
      <c r="U53" s="118"/>
      <c r="V53" s="117"/>
      <c r="W53" s="102"/>
      <c r="X53" s="102"/>
      <c r="Y53" s="102"/>
      <c r="Z53" s="102"/>
      <c r="AA53" s="102"/>
      <c r="AB53" s="102"/>
      <c r="AC53" s="113"/>
      <c r="AD53" s="113"/>
      <c r="AE53" s="113"/>
    </row>
    <row r="54">
      <c r="A54" s="114">
        <v>7.53182231761E11</v>
      </c>
      <c r="B54" s="104" t="str">
        <f t="shared" si="1"/>
        <v>Blu_Six Blue Sugar Free Energy Drink 250 ml</v>
      </c>
      <c r="C54" s="105">
        <v>0.053</v>
      </c>
      <c r="D54" s="105">
        <v>0.134</v>
      </c>
      <c r="E54" s="105">
        <v>0.053</v>
      </c>
      <c r="F54" s="106">
        <f>ROUND('Meta data'!$B$1/E54,0)</f>
        <v>6</v>
      </c>
      <c r="G54" s="107"/>
      <c r="H54" s="105" t="s">
        <v>443</v>
      </c>
      <c r="I54" s="119" t="s">
        <v>444</v>
      </c>
      <c r="J54" s="105" t="s">
        <v>490</v>
      </c>
      <c r="K54" s="105" t="str">
        <f>IFERROR(__xludf.DUMMYFUNCTION("GOOGLETRANSLATE(J54,""he"",""en"")"),"Six Blue Sugar Free Energy Drink 250 ml")</f>
        <v>Six Blue Sugar Free Energy Drink 250 ml</v>
      </c>
      <c r="L54" s="104" t="s">
        <v>494</v>
      </c>
      <c r="M54" s="105" t="s">
        <v>6329</v>
      </c>
      <c r="N54" s="108" t="s">
        <v>6334</v>
      </c>
      <c r="O54" s="109"/>
      <c r="P54" s="109"/>
      <c r="Q54" s="115" t="s">
        <v>493</v>
      </c>
      <c r="R54" s="111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13"/>
      <c r="AD54" s="113"/>
      <c r="AE54" s="113"/>
    </row>
    <row r="55">
      <c r="A55" s="114">
        <v>5.904941752262E12</v>
      </c>
      <c r="B55" s="104" t="str">
        <f t="shared" si="1"/>
        <v>Blu_Blue energy drink 6 calories Lime 250ml</v>
      </c>
      <c r="C55" s="105">
        <v>0.053</v>
      </c>
      <c r="D55" s="105">
        <v>0.134</v>
      </c>
      <c r="E55" s="105">
        <v>0.053</v>
      </c>
      <c r="F55" s="106">
        <f>ROUND('Meta data'!$B$1/E55,0)</f>
        <v>6</v>
      </c>
      <c r="G55" s="107"/>
      <c r="H55" s="105" t="s">
        <v>443</v>
      </c>
      <c r="I55" s="119" t="s">
        <v>444</v>
      </c>
      <c r="J55" s="105" t="s">
        <v>465</v>
      </c>
      <c r="K55" s="105" t="str">
        <f>IFERROR(__xludf.DUMMYFUNCTION("GOOGLETRANSLATE(J55,""he"",""en"")"),"Blue energy drink 6 calories Lime 250ml")</f>
        <v>Blue energy drink 6 calories Lime 250ml</v>
      </c>
      <c r="L55" s="104" t="s">
        <v>469</v>
      </c>
      <c r="M55" s="105" t="s">
        <v>6329</v>
      </c>
      <c r="N55" s="108" t="s">
        <v>6334</v>
      </c>
      <c r="O55" s="109"/>
      <c r="P55" s="109"/>
      <c r="Q55" s="115" t="s">
        <v>468</v>
      </c>
      <c r="R55" s="115"/>
      <c r="S55" s="117"/>
      <c r="T55" s="102"/>
      <c r="U55" s="102"/>
      <c r="V55" s="102"/>
      <c r="W55" s="102"/>
      <c r="X55" s="102"/>
      <c r="Y55" s="102"/>
      <c r="Z55" s="102"/>
      <c r="AA55" s="102"/>
      <c r="AB55" s="102"/>
      <c r="AC55" s="113"/>
      <c r="AD55" s="113"/>
      <c r="AE55" s="113"/>
    </row>
    <row r="56">
      <c r="A56" s="114">
        <v>5.904941751241E12</v>
      </c>
      <c r="B56" s="104" t="str">
        <f t="shared" si="1"/>
        <v>Blu_Blue energy drink 250 calories Day 6 ml</v>
      </c>
      <c r="C56" s="105">
        <v>0.053</v>
      </c>
      <c r="D56" s="105">
        <v>0.134</v>
      </c>
      <c r="E56" s="105">
        <v>0.053</v>
      </c>
      <c r="F56" s="106">
        <f>ROUND('Meta data'!$B$1/E56,0)</f>
        <v>6</v>
      </c>
      <c r="G56" s="107"/>
      <c r="H56" s="105" t="s">
        <v>443</v>
      </c>
      <c r="I56" s="119" t="s">
        <v>444</v>
      </c>
      <c r="J56" s="105" t="s">
        <v>453</v>
      </c>
      <c r="K56" s="105" t="str">
        <f>IFERROR(__xludf.DUMMYFUNCTION("GOOGLETRANSLATE(J56,""he"",""en"")"),"Blue energy drink 250 calories Day 6 ml")</f>
        <v>Blue energy drink 250 calories Day 6 ml</v>
      </c>
      <c r="L56" s="104" t="s">
        <v>457</v>
      </c>
      <c r="M56" s="105" t="s">
        <v>6329</v>
      </c>
      <c r="N56" s="108" t="s">
        <v>6334</v>
      </c>
      <c r="O56" s="109"/>
      <c r="P56" s="109"/>
      <c r="Q56" s="111" t="s">
        <v>456</v>
      </c>
      <c r="R56" s="111"/>
      <c r="S56" s="118"/>
      <c r="T56" s="112"/>
      <c r="U56" s="102"/>
      <c r="V56" s="102"/>
      <c r="W56" s="102"/>
      <c r="X56" s="102"/>
      <c r="Y56" s="102"/>
      <c r="Z56" s="102"/>
      <c r="AA56" s="102"/>
      <c r="AB56" s="102"/>
      <c r="AC56" s="113"/>
      <c r="AD56" s="113"/>
      <c r="AE56" s="113"/>
    </row>
    <row r="57">
      <c r="A57" s="114">
        <v>5.060639128051E12</v>
      </c>
      <c r="B57" s="104" t="str">
        <f t="shared" si="1"/>
        <v>Blu_Munster energy drink Ultra</v>
      </c>
      <c r="C57" s="105">
        <v>0.066</v>
      </c>
      <c r="D57" s="105">
        <v>0.168</v>
      </c>
      <c r="E57" s="105">
        <v>0.066</v>
      </c>
      <c r="F57" s="106">
        <f>ROUND('Meta data'!$B$1/E57,0)</f>
        <v>5</v>
      </c>
      <c r="G57" s="107"/>
      <c r="H57" s="105" t="s">
        <v>443</v>
      </c>
      <c r="I57" s="119" t="s">
        <v>444</v>
      </c>
      <c r="J57" s="105" t="s">
        <v>483</v>
      </c>
      <c r="K57" s="105" t="str">
        <f>IFERROR(__xludf.DUMMYFUNCTION("GOOGLETRANSLATE(J57,""he"",""en"")"),"Munster energy drink Ultra")</f>
        <v>Munster energy drink Ultra</v>
      </c>
      <c r="L57" s="104" t="s">
        <v>487</v>
      </c>
      <c r="M57" s="105" t="s">
        <v>6329</v>
      </c>
      <c r="N57" s="108" t="s">
        <v>6334</v>
      </c>
      <c r="O57" s="109"/>
      <c r="P57" s="109"/>
      <c r="Q57" s="111" t="s">
        <v>486</v>
      </c>
      <c r="R57" s="111"/>
      <c r="S57" s="112"/>
      <c r="T57" s="102"/>
      <c r="U57" s="102"/>
      <c r="V57" s="102"/>
      <c r="W57" s="102"/>
      <c r="X57" s="102"/>
      <c r="Y57" s="102"/>
      <c r="Z57" s="102"/>
      <c r="AA57" s="102"/>
      <c r="AB57" s="102"/>
      <c r="AC57" s="113"/>
      <c r="AD57" s="113"/>
      <c r="AE57" s="113"/>
    </row>
    <row r="58">
      <c r="A58" s="114">
        <v>4.0111216E7</v>
      </c>
      <c r="B58" s="104" t="str">
        <f t="shared" si="1"/>
        <v>Bounty_Bounty chocolate bar 57 g</v>
      </c>
      <c r="C58" s="105">
        <v>0.155</v>
      </c>
      <c r="D58" s="105">
        <v>0.04</v>
      </c>
      <c r="E58" s="105">
        <v>0.02</v>
      </c>
      <c r="F58" s="106">
        <f>ROUND('Meta data'!$B$1/E58,0)</f>
        <v>15</v>
      </c>
      <c r="G58" s="107"/>
      <c r="H58" s="105" t="s">
        <v>496</v>
      </c>
      <c r="I58" s="105" t="str">
        <f>IFERROR(__xludf.DUMMYFUNCTION("GOOGLETRANSLATE(H58,""he"",""en"")"),"Bounty")</f>
        <v>Bounty</v>
      </c>
      <c r="J58" s="105" t="s">
        <v>498</v>
      </c>
      <c r="K58" s="105" t="str">
        <f>IFERROR(__xludf.DUMMYFUNCTION("GOOGLETRANSLATE(J58,""he"",""en"")"),"Bounty chocolate bar 57 g")</f>
        <v>Bounty chocolate bar 57 g</v>
      </c>
      <c r="L58" s="104" t="s">
        <v>504</v>
      </c>
      <c r="M58" s="105" t="s">
        <v>6302</v>
      </c>
      <c r="N58" s="108" t="s">
        <v>6303</v>
      </c>
      <c r="O58" s="109"/>
      <c r="P58" s="109"/>
      <c r="Q58" s="111" t="s">
        <v>503</v>
      </c>
      <c r="R58" s="115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13"/>
      <c r="AD58" s="113"/>
      <c r="AE58" s="113"/>
    </row>
    <row r="59">
      <c r="A59" s="114">
        <v>7.610113011652E12</v>
      </c>
      <c r="B59" s="104" t="str">
        <f t="shared" si="1"/>
        <v>Breezer_Breezer - flavored carbonated drink apple Moheli</v>
      </c>
      <c r="C59" s="105">
        <v>0.05</v>
      </c>
      <c r="D59" s="105">
        <v>0.215</v>
      </c>
      <c r="E59" s="105">
        <v>0.05</v>
      </c>
      <c r="F59" s="106">
        <f>ROUND('Meta data'!$B$1/E59,0)</f>
        <v>6</v>
      </c>
      <c r="G59" s="107"/>
      <c r="H59" s="105" t="s">
        <v>506</v>
      </c>
      <c r="I59" s="105" t="str">
        <f>IFERROR(__xludf.DUMMYFUNCTION("GOOGLETRANSLATE(H59,""he"",""en"")"),"Breezer")</f>
        <v>Breezer</v>
      </c>
      <c r="J59" s="105" t="s">
        <v>509</v>
      </c>
      <c r="K59" s="105" t="str">
        <f>IFERROR(__xludf.DUMMYFUNCTION("GOOGLETRANSLATE(J59,""he"",""en"")"),"Breezer - flavored carbonated drink apple Moheli")</f>
        <v>Breezer - flavored carbonated drink apple Moheli</v>
      </c>
      <c r="L59" s="104" t="s">
        <v>515</v>
      </c>
      <c r="M59" s="105" t="s">
        <v>6335</v>
      </c>
      <c r="N59" s="108" t="s">
        <v>6336</v>
      </c>
      <c r="O59" s="109"/>
      <c r="P59" s="109"/>
      <c r="Q59" s="111" t="s">
        <v>514</v>
      </c>
      <c r="R59" s="115"/>
      <c r="S59" s="112"/>
      <c r="T59" s="102"/>
      <c r="U59" s="102"/>
      <c r="V59" s="102"/>
      <c r="W59" s="102"/>
      <c r="X59" s="102"/>
      <c r="Y59" s="102"/>
      <c r="Z59" s="102"/>
      <c r="AA59" s="102"/>
      <c r="AB59" s="102"/>
      <c r="AC59" s="113"/>
      <c r="AD59" s="113"/>
      <c r="AE59" s="113"/>
    </row>
    <row r="60">
      <c r="A60" s="114">
        <v>5.010677554398E12</v>
      </c>
      <c r="B60" s="104" t="str">
        <f t="shared" si="1"/>
        <v>Breezer_Watermelon Breezer bottle of 275 ml</v>
      </c>
      <c r="C60" s="105">
        <v>0.058</v>
      </c>
      <c r="D60" s="105">
        <v>0.212</v>
      </c>
      <c r="E60" s="105">
        <v>0.058</v>
      </c>
      <c r="F60" s="106">
        <f>ROUND('Meta data'!$B$1/E60,0)</f>
        <v>5</v>
      </c>
      <c r="G60" s="107"/>
      <c r="H60" s="105" t="s">
        <v>506</v>
      </c>
      <c r="I60" s="105" t="str">
        <f>IFERROR(__xludf.DUMMYFUNCTION("GOOGLETRANSLATE(H60,""he"",""en"")"),"Breezer")</f>
        <v>Breezer</v>
      </c>
      <c r="J60" s="105" t="s">
        <v>524</v>
      </c>
      <c r="K60" s="105" t="str">
        <f>IFERROR(__xludf.DUMMYFUNCTION("GOOGLETRANSLATE(J60,""he"",""en"")"),"Watermelon Breezer bottle of 275 ml")</f>
        <v>Watermelon Breezer bottle of 275 ml</v>
      </c>
      <c r="L60" s="104" t="s">
        <v>528</v>
      </c>
      <c r="M60" s="105" t="s">
        <v>6335</v>
      </c>
      <c r="N60" s="108" t="s">
        <v>6336</v>
      </c>
      <c r="O60" s="109"/>
      <c r="P60" s="109"/>
      <c r="Q60" s="111" t="s">
        <v>527</v>
      </c>
      <c r="R60" s="115"/>
      <c r="S60" s="112"/>
      <c r="T60" s="102"/>
      <c r="U60" s="102"/>
      <c r="V60" s="102"/>
      <c r="W60" s="102"/>
      <c r="X60" s="102"/>
      <c r="Y60" s="102"/>
      <c r="Z60" s="102"/>
      <c r="AA60" s="102"/>
      <c r="AB60" s="102"/>
      <c r="AC60" s="113"/>
      <c r="AD60" s="113"/>
      <c r="AE60" s="113"/>
    </row>
    <row r="61">
      <c r="A61" s="114">
        <v>5.010677552387E12</v>
      </c>
      <c r="B61" s="104" t="str">
        <f t="shared" si="1"/>
        <v>Breezer_Breezer pineapple, a bottle of 275 ml</v>
      </c>
      <c r="C61" s="105">
        <v>0.058</v>
      </c>
      <c r="D61" s="105">
        <v>0.212</v>
      </c>
      <c r="E61" s="105">
        <v>0.058</v>
      </c>
      <c r="F61" s="106">
        <f>ROUND('Meta data'!$B$1/E61,0)</f>
        <v>5</v>
      </c>
      <c r="G61" s="107"/>
      <c r="H61" s="105" t="s">
        <v>506</v>
      </c>
      <c r="I61" s="105" t="str">
        <f>IFERROR(__xludf.DUMMYFUNCTION("GOOGLETRANSLATE(H61,""he"",""en"")"),"Breezer")</f>
        <v>Breezer</v>
      </c>
      <c r="J61" s="105" t="s">
        <v>518</v>
      </c>
      <c r="K61" s="105" t="str">
        <f>IFERROR(__xludf.DUMMYFUNCTION("GOOGLETRANSLATE(J61,""he"",""en"")"),"Breezer pineapple, a bottle of 275 ml")</f>
        <v>Breezer pineapple, a bottle of 275 ml</v>
      </c>
      <c r="L61" s="104" t="s">
        <v>522</v>
      </c>
      <c r="M61" s="105" t="s">
        <v>6335</v>
      </c>
      <c r="N61" s="108" t="s">
        <v>6336</v>
      </c>
      <c r="O61" s="109"/>
      <c r="P61" s="109"/>
      <c r="Q61" s="111" t="s">
        <v>521</v>
      </c>
      <c r="R61" s="115"/>
      <c r="S61" s="112"/>
      <c r="T61" s="102"/>
      <c r="U61" s="102"/>
      <c r="V61" s="102"/>
      <c r="W61" s="102"/>
      <c r="X61" s="102"/>
      <c r="Y61" s="102"/>
      <c r="Z61" s="102"/>
      <c r="AA61" s="102"/>
      <c r="AB61" s="102"/>
      <c r="AC61" s="113"/>
      <c r="AD61" s="113"/>
      <c r="AE61" s="113"/>
    </row>
    <row r="62">
      <c r="A62" s="114">
        <v>5.410228267508E12</v>
      </c>
      <c r="B62" s="104" t="str">
        <f t="shared" si="1"/>
        <v>Budweiser_Beer Budweiser</v>
      </c>
      <c r="C62" s="105">
        <v>0.055</v>
      </c>
      <c r="D62" s="105">
        <v>0.23</v>
      </c>
      <c r="E62" s="105">
        <v>0.055</v>
      </c>
      <c r="F62" s="106">
        <f>ROUND('Meta data'!$B$1/E62,0)</f>
        <v>5</v>
      </c>
      <c r="G62" s="107"/>
      <c r="H62" s="105" t="s">
        <v>530</v>
      </c>
      <c r="I62" s="119" t="s">
        <v>531</v>
      </c>
      <c r="J62" s="105" t="s">
        <v>533</v>
      </c>
      <c r="K62" s="119" t="s">
        <v>6337</v>
      </c>
      <c r="L62" s="104" t="s">
        <v>538</v>
      </c>
      <c r="M62" s="105" t="s">
        <v>6332</v>
      </c>
      <c r="N62" s="108" t="s">
        <v>6338</v>
      </c>
      <c r="O62" s="109"/>
      <c r="P62" s="109"/>
      <c r="Q62" s="115" t="s">
        <v>537</v>
      </c>
      <c r="R62" s="116"/>
      <c r="S62" s="121"/>
      <c r="T62" s="102"/>
      <c r="U62" s="102"/>
      <c r="V62" s="102"/>
      <c r="W62" s="102"/>
      <c r="X62" s="102"/>
      <c r="Y62" s="102"/>
      <c r="Z62" s="102"/>
      <c r="AA62" s="102"/>
      <c r="AB62" s="102"/>
      <c r="AC62" s="113"/>
      <c r="AD62" s="113"/>
      <c r="AE62" s="113"/>
    </row>
    <row r="63">
      <c r="A63" s="114">
        <v>5.014379009972E12</v>
      </c>
      <c r="B63" s="104" t="str">
        <f t="shared" si="1"/>
        <v>Budweiser_Can of beer Budweiser</v>
      </c>
      <c r="C63" s="105">
        <v>0.055</v>
      </c>
      <c r="D63" s="105">
        <v>0.17</v>
      </c>
      <c r="E63" s="105">
        <v>0.055</v>
      </c>
      <c r="F63" s="106">
        <f>ROUND('Meta data'!$B$1/E63,0)</f>
        <v>5</v>
      </c>
      <c r="G63" s="107"/>
      <c r="H63" s="105" t="s">
        <v>530</v>
      </c>
      <c r="I63" s="119" t="s">
        <v>531</v>
      </c>
      <c r="J63" s="105" t="s">
        <v>540</v>
      </c>
      <c r="K63" s="119" t="s">
        <v>6339</v>
      </c>
      <c r="L63" s="104" t="s">
        <v>545</v>
      </c>
      <c r="M63" s="105" t="s">
        <v>6332</v>
      </c>
      <c r="N63" s="108" t="s">
        <v>6340</v>
      </c>
      <c r="O63" s="109"/>
      <c r="P63" s="109"/>
      <c r="Q63" s="111" t="s">
        <v>544</v>
      </c>
      <c r="R63" s="111"/>
      <c r="S63" s="118"/>
      <c r="T63" s="112"/>
      <c r="U63" s="102"/>
      <c r="V63" s="102"/>
      <c r="W63" s="102"/>
      <c r="X63" s="102"/>
      <c r="Y63" s="102"/>
      <c r="Z63" s="102"/>
      <c r="AA63" s="102"/>
      <c r="AB63" s="102"/>
      <c r="AC63" s="113"/>
      <c r="AD63" s="113"/>
      <c r="AE63" s="113"/>
    </row>
    <row r="64">
      <c r="A64" s="114">
        <v>7.290008909761E12</v>
      </c>
      <c r="B64" s="104" t="str">
        <f t="shared" si="1"/>
        <v>Carlsberg_Carlsberg beer bottle, 330 ml</v>
      </c>
      <c r="C64" s="105">
        <v>0.056</v>
      </c>
      <c r="D64" s="105">
        <v>0.233</v>
      </c>
      <c r="E64" s="105">
        <v>0.056</v>
      </c>
      <c r="F64" s="106">
        <f>ROUND('Meta data'!$B$1/E64,0)</f>
        <v>5</v>
      </c>
      <c r="G64" s="107"/>
      <c r="H64" s="105" t="s">
        <v>557</v>
      </c>
      <c r="I64" s="105" t="str">
        <f>IFERROR(__xludf.DUMMYFUNCTION("GOOGLETRANSLATE(H64,""he"",""en"")"),"Carlsberg")</f>
        <v>Carlsberg</v>
      </c>
      <c r="J64" s="105" t="s">
        <v>568</v>
      </c>
      <c r="K64" s="105" t="str">
        <f>IFERROR(__xludf.DUMMYFUNCTION("GOOGLETRANSLATE(J64,""he"",""en"")"),"Carlsberg beer bottle, 330 ml")</f>
        <v>Carlsberg beer bottle, 330 ml</v>
      </c>
      <c r="L64" s="104" t="s">
        <v>572</v>
      </c>
      <c r="M64" s="105" t="s">
        <v>6332</v>
      </c>
      <c r="N64" s="108" t="s">
        <v>6338</v>
      </c>
      <c r="O64" s="109"/>
      <c r="P64" s="109"/>
      <c r="Q64" s="115" t="s">
        <v>571</v>
      </c>
      <c r="R64" s="116"/>
      <c r="S64" s="117"/>
      <c r="T64" s="117"/>
      <c r="U64" s="118"/>
      <c r="V64" s="117"/>
      <c r="W64" s="102"/>
      <c r="X64" s="102"/>
      <c r="Y64" s="102"/>
      <c r="Z64" s="102"/>
      <c r="AA64" s="102"/>
      <c r="AB64" s="102"/>
      <c r="AC64" s="113"/>
      <c r="AD64" s="113"/>
      <c r="AE64" s="113"/>
    </row>
    <row r="65">
      <c r="A65" s="114">
        <v>7.290110113421E12</v>
      </c>
      <c r="B65" s="104" t="str">
        <f t="shared" si="1"/>
        <v>Carlsberg_Carlsberg single LUMA Beck 330</v>
      </c>
      <c r="C65" s="105">
        <v>0.055</v>
      </c>
      <c r="D65" s="105">
        <v>0.226</v>
      </c>
      <c r="E65" s="105">
        <v>0.055</v>
      </c>
      <c r="F65" s="106">
        <f>ROUND('Meta data'!$B$1/E65,0)</f>
        <v>5</v>
      </c>
      <c r="G65" s="107"/>
      <c r="H65" s="105" t="s">
        <v>557</v>
      </c>
      <c r="I65" s="105" t="str">
        <f>IFERROR(__xludf.DUMMYFUNCTION("GOOGLETRANSLATE(H65,""he"",""en"")"),"Carlsberg")</f>
        <v>Carlsberg</v>
      </c>
      <c r="J65" s="105" t="s">
        <v>581</v>
      </c>
      <c r="K65" s="105" t="str">
        <f>IFERROR(__xludf.DUMMYFUNCTION("GOOGLETRANSLATE(J65,""he"",""en"")"),"Carlsberg single LUMA Beck 330")</f>
        <v>Carlsberg single LUMA Beck 330</v>
      </c>
      <c r="L65" s="104" t="s">
        <v>585</v>
      </c>
      <c r="M65" s="105" t="s">
        <v>6332</v>
      </c>
      <c r="N65" s="108" t="s">
        <v>6338</v>
      </c>
      <c r="O65" s="109"/>
      <c r="P65" s="109"/>
      <c r="Q65" s="115" t="s">
        <v>584</v>
      </c>
      <c r="R65" s="116"/>
      <c r="S65" s="117"/>
      <c r="T65" s="102"/>
      <c r="U65" s="102"/>
      <c r="V65" s="102"/>
      <c r="W65" s="102"/>
      <c r="X65" s="102"/>
      <c r="Y65" s="102"/>
      <c r="Z65" s="102"/>
      <c r="AA65" s="102"/>
      <c r="AB65" s="102"/>
      <c r="AC65" s="113"/>
      <c r="AD65" s="113"/>
      <c r="AE65" s="113"/>
    </row>
    <row r="66">
      <c r="A66" s="114">
        <v>7.290001594568E12</v>
      </c>
      <c r="B66" s="104" t="str">
        <f t="shared" si="1"/>
        <v>Carlsberg_Carlsberg beer in the can 500 ml</v>
      </c>
      <c r="C66" s="105">
        <v>0.065</v>
      </c>
      <c r="D66" s="105">
        <v>0.17</v>
      </c>
      <c r="E66" s="105">
        <v>0.06</v>
      </c>
      <c r="F66" s="106">
        <f>ROUND('Meta data'!$B$1/E66,0)</f>
        <v>5</v>
      </c>
      <c r="G66" s="107"/>
      <c r="H66" s="105" t="s">
        <v>557</v>
      </c>
      <c r="I66" s="105" t="str">
        <f>IFERROR(__xludf.DUMMYFUNCTION("GOOGLETRANSLATE(H66,""he"",""en"")"),"Carlsberg")</f>
        <v>Carlsberg</v>
      </c>
      <c r="J66" s="105" t="s">
        <v>575</v>
      </c>
      <c r="K66" s="105" t="str">
        <f>IFERROR(__xludf.DUMMYFUNCTION("GOOGLETRANSLATE(J66,""he"",""en"")"),"Carlsberg beer in the can 500 ml")</f>
        <v>Carlsberg beer in the can 500 ml</v>
      </c>
      <c r="L66" s="104" t="s">
        <v>579</v>
      </c>
      <c r="M66" s="105" t="s">
        <v>6332</v>
      </c>
      <c r="N66" s="108" t="s">
        <v>6341</v>
      </c>
      <c r="O66" s="109"/>
      <c r="P66" s="109"/>
      <c r="Q66" s="111" t="s">
        <v>578</v>
      </c>
      <c r="R66" s="111"/>
      <c r="S66" s="112"/>
      <c r="T66" s="102"/>
      <c r="U66" s="102"/>
      <c r="V66" s="102"/>
      <c r="W66" s="102"/>
      <c r="X66" s="102"/>
      <c r="Y66" s="102"/>
      <c r="Z66" s="102"/>
      <c r="AA66" s="102"/>
      <c r="AB66" s="102"/>
      <c r="AC66" s="113"/>
      <c r="AD66" s="113"/>
      <c r="AE66" s="113"/>
    </row>
    <row r="67">
      <c r="A67" s="114">
        <v>7.290110110352E12</v>
      </c>
      <c r="B67" s="104" t="str">
        <f t="shared" si="1"/>
        <v>Carlsberg_Carlsberg 0.0 single bottle</v>
      </c>
      <c r="C67" s="105">
        <v>0.06</v>
      </c>
      <c r="D67" s="105">
        <v>0.23</v>
      </c>
      <c r="E67" s="105">
        <v>0.06</v>
      </c>
      <c r="F67" s="106">
        <f>ROUND('Meta data'!$B$1/E67,0)</f>
        <v>5</v>
      </c>
      <c r="G67" s="107"/>
      <c r="H67" s="105" t="s">
        <v>557</v>
      </c>
      <c r="I67" s="105" t="str">
        <f>IFERROR(__xludf.DUMMYFUNCTION("GOOGLETRANSLATE(H67,""he"",""en"")"),"Carlsberg")</f>
        <v>Carlsberg</v>
      </c>
      <c r="J67" s="105" t="s">
        <v>559</v>
      </c>
      <c r="K67" s="105" t="str">
        <f>IFERROR(__xludf.DUMMYFUNCTION("GOOGLETRANSLATE(J67,""he"",""en"")"),"Carlsberg 0.0 single bottle")</f>
        <v>Carlsberg 0.0 single bottle</v>
      </c>
      <c r="L67" s="104" t="s">
        <v>565</v>
      </c>
      <c r="M67" s="105" t="s">
        <v>6342</v>
      </c>
      <c r="N67" s="108" t="s">
        <v>6343</v>
      </c>
      <c r="O67" s="109"/>
      <c r="P67" s="109"/>
      <c r="Q67" s="111" t="s">
        <v>564</v>
      </c>
      <c r="R67" s="115"/>
      <c r="S67" s="112"/>
      <c r="T67" s="102"/>
      <c r="U67" s="102"/>
      <c r="V67" s="102"/>
      <c r="W67" s="102"/>
      <c r="X67" s="102"/>
      <c r="Y67" s="102"/>
      <c r="Z67" s="102"/>
      <c r="AA67" s="102"/>
      <c r="AB67" s="102"/>
      <c r="AC67" s="113"/>
      <c r="AD67" s="113"/>
      <c r="AE67" s="113"/>
    </row>
    <row r="68">
      <c r="A68" s="114">
        <v>7.290002022152E12</v>
      </c>
      <c r="B68" s="104" t="str">
        <f t="shared" si="1"/>
        <v>Carmit_Carmit marshmallows 100g when LP</v>
      </c>
      <c r="C68" s="105">
        <v>0.14</v>
      </c>
      <c r="D68" s="105">
        <v>0.24</v>
      </c>
      <c r="E68" s="105">
        <v>0.04</v>
      </c>
      <c r="F68" s="106">
        <f>ROUND('Meta data'!$B$1/E68,0)</f>
        <v>8</v>
      </c>
      <c r="G68" s="107"/>
      <c r="H68" s="105" t="s">
        <v>587</v>
      </c>
      <c r="I68" s="105" t="str">
        <f>IFERROR(__xludf.DUMMYFUNCTION("GOOGLETRANSLATE(H68,""he"",""en"")"),"Carmit")</f>
        <v>Carmit</v>
      </c>
      <c r="J68" s="105" t="s">
        <v>589</v>
      </c>
      <c r="K68" s="105" t="str">
        <f>IFERROR(__xludf.DUMMYFUNCTION("GOOGLETRANSLATE(J68,""he"",""en"")"),"Carmit marshmallows 100g when LP")</f>
        <v>Carmit marshmallows 100g when LP</v>
      </c>
      <c r="L68" s="104" t="s">
        <v>595</v>
      </c>
      <c r="M68" s="105" t="s">
        <v>6344</v>
      </c>
      <c r="N68" s="108" t="s">
        <v>6345</v>
      </c>
      <c r="O68" s="109"/>
      <c r="P68" s="109"/>
      <c r="Q68" s="115" t="s">
        <v>594</v>
      </c>
      <c r="R68" s="101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13"/>
      <c r="AD68" s="113"/>
      <c r="AE68" s="113"/>
    </row>
    <row r="69">
      <c r="A69" s="114">
        <v>5.411081003654E12</v>
      </c>
      <c r="B69" s="104" t="str">
        <f t="shared" si="1"/>
        <v>Castel-Rose_Castel beer Rosie 330</v>
      </c>
      <c r="C69" s="105">
        <v>0.06</v>
      </c>
      <c r="D69" s="105">
        <v>0.19</v>
      </c>
      <c r="E69" s="105">
        <v>0.06</v>
      </c>
      <c r="F69" s="106">
        <f>ROUND('Meta data'!$B$1/E69,0)</f>
        <v>5</v>
      </c>
      <c r="G69" s="107"/>
      <c r="H69" s="105" t="s">
        <v>2038</v>
      </c>
      <c r="I69" s="105" t="str">
        <f>IFERROR(__xludf.DUMMYFUNCTION("GOOGLETRANSLATE(H69,""he"",""en"")"),"Castel Rose")</f>
        <v>Castel Rose</v>
      </c>
      <c r="J69" s="105" t="s">
        <v>2040</v>
      </c>
      <c r="K69" s="105" t="str">
        <f>IFERROR(__xludf.DUMMYFUNCTION("GOOGLETRANSLATE(J69,""he"",""en"")"),"Castel beer Rosie 330")</f>
        <v>Castel beer Rosie 330</v>
      </c>
      <c r="L69" s="104" t="s">
        <v>2044</v>
      </c>
      <c r="M69" s="105" t="s">
        <v>6332</v>
      </c>
      <c r="N69" s="108" t="s">
        <v>6338</v>
      </c>
      <c r="O69" s="109"/>
      <c r="P69" s="109"/>
      <c r="Q69" s="115" t="s">
        <v>2043</v>
      </c>
      <c r="R69" s="116"/>
      <c r="S69" s="118"/>
      <c r="T69" s="117"/>
      <c r="U69" s="102"/>
      <c r="V69" s="102"/>
      <c r="W69" s="102"/>
      <c r="X69" s="102"/>
      <c r="Y69" s="102"/>
      <c r="Z69" s="102"/>
      <c r="AA69" s="102"/>
      <c r="AB69" s="102"/>
      <c r="AC69" s="113"/>
      <c r="AD69" s="113"/>
      <c r="AE69" s="113"/>
    </row>
    <row r="70">
      <c r="A70" s="114">
        <v>5.410769800097E12</v>
      </c>
      <c r="B70" s="104" t="str">
        <f t="shared" si="1"/>
        <v>Cherry-Schoof_Beer - Cherry Schoof</v>
      </c>
      <c r="C70" s="105">
        <v>0.06</v>
      </c>
      <c r="D70" s="105">
        <v>0.158</v>
      </c>
      <c r="E70" s="105">
        <v>0.06</v>
      </c>
      <c r="F70" s="106">
        <f>ROUND('Meta data'!$B$1/E70,0)</f>
        <v>5</v>
      </c>
      <c r="G70" s="107"/>
      <c r="H70" s="105" t="s">
        <v>611</v>
      </c>
      <c r="I70" s="105" t="str">
        <f>IFERROR(__xludf.DUMMYFUNCTION("GOOGLETRANSLATE(H70,""he"",""en"")"),"Cherry Schoof")</f>
        <v>Cherry Schoof</v>
      </c>
      <c r="J70" s="105" t="s">
        <v>613</v>
      </c>
      <c r="K70" s="105" t="str">
        <f>IFERROR(__xludf.DUMMYFUNCTION("GOOGLETRANSLATE(J70,""he"",""en"")"),"Beer - Cherry Schoof")</f>
        <v>Beer - Cherry Schoof</v>
      </c>
      <c r="L70" s="104" t="s">
        <v>617</v>
      </c>
      <c r="M70" s="105" t="s">
        <v>6332</v>
      </c>
      <c r="N70" s="108" t="s">
        <v>6338</v>
      </c>
      <c r="O70" s="109"/>
      <c r="P70" s="109"/>
      <c r="Q70" s="115" t="s">
        <v>616</v>
      </c>
      <c r="R70" s="116"/>
      <c r="S70" s="117"/>
      <c r="T70" s="118"/>
      <c r="U70" s="102"/>
      <c r="V70" s="102"/>
      <c r="W70" s="102"/>
      <c r="X70" s="102"/>
      <c r="Y70" s="102"/>
      <c r="Z70" s="102"/>
      <c r="AA70" s="102"/>
      <c r="AB70" s="102"/>
      <c r="AC70" s="113"/>
      <c r="AD70" s="113"/>
      <c r="AE70" s="113"/>
    </row>
    <row r="71">
      <c r="A71" s="114">
        <v>7.290000170053E12</v>
      </c>
      <c r="B71" s="104" t="str">
        <f t="shared" si="1"/>
        <v>Chocolate-Cow_Cow Milk Chocolate 100g</v>
      </c>
      <c r="C71" s="105">
        <v>0.16</v>
      </c>
      <c r="D71" s="105">
        <v>0.079</v>
      </c>
      <c r="E71" s="105">
        <v>0.02</v>
      </c>
      <c r="F71" s="106">
        <f>ROUND('Meta data'!$B$1/E71,0)</f>
        <v>15</v>
      </c>
      <c r="G71" s="107"/>
      <c r="H71" s="105" t="s">
        <v>620</v>
      </c>
      <c r="I71" s="105" t="str">
        <f>IFERROR(__xludf.DUMMYFUNCTION("GOOGLETRANSLATE(H71,""he"",""en"")"),"Chocolate Cow")</f>
        <v>Chocolate Cow</v>
      </c>
      <c r="J71" s="105" t="s">
        <v>671</v>
      </c>
      <c r="K71" s="105" t="str">
        <f>IFERROR(__xludf.DUMMYFUNCTION("GOOGLETRANSLATE(J71,""he"",""en"")"),"Cow Milk Chocolate 100g")</f>
        <v>Cow Milk Chocolate 100g</v>
      </c>
      <c r="L71" s="104" t="s">
        <v>675</v>
      </c>
      <c r="M71" s="105" t="s">
        <v>6346</v>
      </c>
      <c r="N71" s="108" t="s">
        <v>6347</v>
      </c>
      <c r="O71" s="109"/>
      <c r="P71" s="109"/>
      <c r="Q71" s="115" t="s">
        <v>674</v>
      </c>
      <c r="R71" s="116"/>
      <c r="S71" s="117"/>
      <c r="T71" s="117"/>
      <c r="U71" s="117"/>
      <c r="V71" s="118"/>
      <c r="W71" s="102"/>
      <c r="X71" s="102"/>
      <c r="Y71" s="102"/>
      <c r="Z71" s="102"/>
      <c r="AA71" s="102"/>
      <c r="AB71" s="102"/>
      <c r="AC71" s="113"/>
      <c r="AD71" s="113"/>
      <c r="AE71" s="113"/>
    </row>
    <row r="72">
      <c r="A72" s="114">
        <v>7.29011235121E12</v>
      </c>
      <c r="B72" s="104" t="str">
        <f t="shared" si="1"/>
        <v>Chocolate-Cow_Cow Chocolate Waffle Mix coconut 95g</v>
      </c>
      <c r="C72" s="105">
        <v>0.16</v>
      </c>
      <c r="D72" s="105">
        <v>0.079</v>
      </c>
      <c r="E72" s="105">
        <v>0.01</v>
      </c>
      <c r="F72" s="106">
        <f>ROUND('Meta data'!$B$1/E72,0)</f>
        <v>30</v>
      </c>
      <c r="G72" s="107"/>
      <c r="H72" s="105" t="s">
        <v>620</v>
      </c>
      <c r="I72" s="105" t="str">
        <f>IFERROR(__xludf.DUMMYFUNCTION("GOOGLETRANSLATE(H72,""he"",""en"")"),"Chocolate Cow")</f>
        <v>Chocolate Cow</v>
      </c>
      <c r="J72" s="105" t="s">
        <v>659</v>
      </c>
      <c r="K72" s="105" t="str">
        <f>IFERROR(__xludf.DUMMYFUNCTION("GOOGLETRANSLATE(J72,""he"",""en"")"),"Cow Chocolate Waffle Mix coconut 95g")</f>
        <v>Cow Chocolate Waffle Mix coconut 95g</v>
      </c>
      <c r="L72" s="104" t="s">
        <v>663</v>
      </c>
      <c r="M72" s="105" t="s">
        <v>6346</v>
      </c>
      <c r="N72" s="108" t="s">
        <v>6347</v>
      </c>
      <c r="O72" s="109"/>
      <c r="P72" s="109"/>
      <c r="Q72" s="115" t="s">
        <v>662</v>
      </c>
      <c r="R72" s="116"/>
      <c r="S72" s="117"/>
      <c r="T72" s="117"/>
      <c r="U72" s="117"/>
      <c r="V72" s="102"/>
      <c r="W72" s="102"/>
      <c r="X72" s="102"/>
      <c r="Y72" s="102"/>
      <c r="Z72" s="102"/>
      <c r="AA72" s="102"/>
      <c r="AB72" s="102"/>
      <c r="AC72" s="113"/>
      <c r="AD72" s="113"/>
      <c r="AE72" s="113"/>
    </row>
    <row r="73">
      <c r="A73" s="114">
        <v>7.290112351197E12</v>
      </c>
      <c r="B73" s="104" t="str">
        <f t="shared" si="1"/>
        <v>Chocolate-Cow_Cow Chocolate Almond Cookies Mix 95 grams</v>
      </c>
      <c r="C73" s="105">
        <v>0.16</v>
      </c>
      <c r="D73" s="105">
        <v>0.079</v>
      </c>
      <c r="E73" s="105">
        <v>0.01</v>
      </c>
      <c r="F73" s="106">
        <f>ROUND('Meta data'!$B$1/E73,0)</f>
        <v>30</v>
      </c>
      <c r="G73" s="107"/>
      <c r="H73" s="105" t="s">
        <v>620</v>
      </c>
      <c r="I73" s="105" t="str">
        <f>IFERROR(__xludf.DUMMYFUNCTION("GOOGLETRANSLATE(H73,""he"",""en"")"),"Chocolate Cow")</f>
        <v>Chocolate Cow</v>
      </c>
      <c r="J73" s="105" t="s">
        <v>631</v>
      </c>
      <c r="K73" s="105" t="str">
        <f>IFERROR(__xludf.DUMMYFUNCTION("GOOGLETRANSLATE(J73,""he"",""en"")"),"Cow Chocolate Almond Cookies Mix 95 grams")</f>
        <v>Cow Chocolate Almond Cookies Mix 95 grams</v>
      </c>
      <c r="L73" s="104" t="s">
        <v>635</v>
      </c>
      <c r="M73" s="105" t="s">
        <v>6346</v>
      </c>
      <c r="N73" s="108" t="s">
        <v>6347</v>
      </c>
      <c r="O73" s="109"/>
      <c r="P73" s="109"/>
      <c r="Q73" s="115" t="s">
        <v>634</v>
      </c>
      <c r="R73" s="116"/>
      <c r="S73" s="117"/>
      <c r="T73" s="117"/>
      <c r="U73" s="117"/>
      <c r="V73" s="118"/>
      <c r="W73" s="102"/>
      <c r="X73" s="102"/>
      <c r="Y73" s="102"/>
      <c r="Z73" s="102"/>
      <c r="AA73" s="102"/>
      <c r="AB73" s="102"/>
      <c r="AC73" s="113"/>
      <c r="AD73" s="113"/>
      <c r="AE73" s="113"/>
    </row>
    <row r="74">
      <c r="A74" s="114">
        <v>7.290000170077E12</v>
      </c>
      <c r="B74" s="104" t="str">
        <f t="shared" si="1"/>
        <v>Chocolate-Cow_Cow Bitter Chocolate, 100g</v>
      </c>
      <c r="C74" s="105">
        <v>0.16</v>
      </c>
      <c r="D74" s="105">
        <v>0.079</v>
      </c>
      <c r="E74" s="105">
        <v>0.02</v>
      </c>
      <c r="F74" s="106">
        <f>ROUND('Meta data'!$B$1/E74,0)</f>
        <v>15</v>
      </c>
      <c r="G74" s="107"/>
      <c r="H74" s="105" t="s">
        <v>620</v>
      </c>
      <c r="I74" s="105" t="str">
        <f>IFERROR(__xludf.DUMMYFUNCTION("GOOGLETRANSLATE(H74,""he"",""en"")"),"Chocolate Cow")</f>
        <v>Chocolate Cow</v>
      </c>
      <c r="J74" s="105" t="s">
        <v>623</v>
      </c>
      <c r="K74" s="105" t="str">
        <f>IFERROR(__xludf.DUMMYFUNCTION("GOOGLETRANSLATE(J74,""he"",""en"")"),"Cow Bitter Chocolate, 100g")</f>
        <v>Cow Bitter Chocolate, 100g</v>
      </c>
      <c r="L74" s="104" t="s">
        <v>629</v>
      </c>
      <c r="M74" s="105" t="s">
        <v>6346</v>
      </c>
      <c r="N74" s="108" t="s">
        <v>6347</v>
      </c>
      <c r="O74" s="109"/>
      <c r="P74" s="109"/>
      <c r="Q74" s="115" t="s">
        <v>628</v>
      </c>
      <c r="R74" s="116"/>
      <c r="S74" s="117"/>
      <c r="T74" s="117"/>
      <c r="U74" s="117"/>
      <c r="V74" s="102"/>
      <c r="W74" s="102"/>
      <c r="X74" s="102"/>
      <c r="Y74" s="102"/>
      <c r="Z74" s="102"/>
      <c r="AA74" s="102"/>
      <c r="AB74" s="102"/>
      <c r="AC74" s="113"/>
      <c r="AD74" s="113"/>
      <c r="AE74" s="113"/>
    </row>
    <row r="75">
      <c r="A75" s="114">
        <v>7.290005200908E12</v>
      </c>
      <c r="B75" s="104" t="str">
        <f t="shared" si="1"/>
        <v>Chocolate-Cow_Cow crunchy chocolate biscuit, 100 g</v>
      </c>
      <c r="C75" s="105">
        <v>0.135</v>
      </c>
      <c r="D75" s="105">
        <v>0.135</v>
      </c>
      <c r="E75" s="105">
        <v>0.015</v>
      </c>
      <c r="F75" s="106">
        <f>ROUND('Meta data'!$B$1/E75,0)</f>
        <v>20</v>
      </c>
      <c r="G75" s="107"/>
      <c r="H75" s="105" t="s">
        <v>620</v>
      </c>
      <c r="I75" s="105" t="str">
        <f>IFERROR(__xludf.DUMMYFUNCTION("GOOGLETRANSLATE(H75,""he"",""en"")"),"Chocolate Cow")</f>
        <v>Chocolate Cow</v>
      </c>
      <c r="J75" s="105" t="s">
        <v>665</v>
      </c>
      <c r="K75" s="105" t="str">
        <f>IFERROR(__xludf.DUMMYFUNCTION("GOOGLETRANSLATE(J75,""he"",""en"")"),"Cow crunchy chocolate biscuit, 100 g")</f>
        <v>Cow crunchy chocolate biscuit, 100 g</v>
      </c>
      <c r="L75" s="104" t="s">
        <v>669</v>
      </c>
      <c r="M75" s="105" t="s">
        <v>6346</v>
      </c>
      <c r="N75" s="108" t="s">
        <v>6348</v>
      </c>
      <c r="O75" s="109"/>
      <c r="P75" s="109"/>
      <c r="Q75" s="115" t="s">
        <v>668</v>
      </c>
      <c r="R75" s="116"/>
      <c r="S75" s="117"/>
      <c r="T75" s="117"/>
      <c r="U75" s="117"/>
      <c r="V75" s="102"/>
      <c r="W75" s="102"/>
      <c r="X75" s="102"/>
      <c r="Y75" s="102"/>
      <c r="Z75" s="102"/>
      <c r="AA75" s="102"/>
      <c r="AB75" s="102"/>
      <c r="AC75" s="113"/>
      <c r="AD75" s="113"/>
      <c r="AE75" s="113"/>
    </row>
    <row r="76">
      <c r="A76" s="114">
        <v>7.290008747431E12</v>
      </c>
      <c r="B76" s="104" t="str">
        <f t="shared" si="1"/>
        <v>Chocolate-Cow_Cow Chocolate strawberry filling - 50g</v>
      </c>
      <c r="C76" s="105">
        <v>0.04</v>
      </c>
      <c r="D76" s="105">
        <v>0.15</v>
      </c>
      <c r="E76" s="105">
        <v>0.02</v>
      </c>
      <c r="F76" s="106">
        <f>ROUND('Meta data'!$B$1/E76,0)</f>
        <v>15</v>
      </c>
      <c r="G76" s="107"/>
      <c r="H76" s="105" t="s">
        <v>620</v>
      </c>
      <c r="I76" s="105" t="str">
        <f>IFERROR(__xludf.DUMMYFUNCTION("GOOGLETRANSLATE(H76,""he"",""en"")"),"Chocolate Cow")</f>
        <v>Chocolate Cow</v>
      </c>
      <c r="J76" s="105" t="s">
        <v>646</v>
      </c>
      <c r="K76" s="105" t="str">
        <f>IFERROR(__xludf.DUMMYFUNCTION("GOOGLETRANSLATE(J76,""he"",""en"")"),"Cow Chocolate strawberry filling - 50g")</f>
        <v>Cow Chocolate strawberry filling - 50g</v>
      </c>
      <c r="L76" s="104" t="s">
        <v>651</v>
      </c>
      <c r="M76" s="105" t="s">
        <v>6346</v>
      </c>
      <c r="N76" s="108" t="s">
        <v>6348</v>
      </c>
      <c r="O76" s="109"/>
      <c r="P76" s="109"/>
      <c r="Q76" s="115" t="s">
        <v>650</v>
      </c>
      <c r="R76" s="116"/>
      <c r="S76" s="124"/>
      <c r="T76" s="118"/>
      <c r="U76" s="117"/>
      <c r="V76" s="102"/>
      <c r="W76" s="102"/>
      <c r="X76" s="102"/>
      <c r="Y76" s="102"/>
      <c r="Z76" s="102"/>
      <c r="AA76" s="102"/>
      <c r="AB76" s="102"/>
      <c r="AC76" s="113"/>
      <c r="AD76" s="113"/>
      <c r="AE76" s="113"/>
    </row>
    <row r="77">
      <c r="A77" s="114">
        <v>7.290008747424E12</v>
      </c>
      <c r="B77" s="104" t="str">
        <f t="shared" si="1"/>
        <v>Chocolate-Cow_Cow Chocolate strawberry filling, 100 g</v>
      </c>
      <c r="C77" s="105">
        <v>0.16</v>
      </c>
      <c r="D77" s="105">
        <v>0.079</v>
      </c>
      <c r="E77" s="105">
        <v>0.02</v>
      </c>
      <c r="F77" s="106">
        <f>ROUND('Meta data'!$B$1/E77,0)</f>
        <v>15</v>
      </c>
      <c r="G77" s="107"/>
      <c r="H77" s="105" t="s">
        <v>620</v>
      </c>
      <c r="I77" s="105" t="str">
        <f>IFERROR(__xludf.DUMMYFUNCTION("GOOGLETRANSLATE(H77,""he"",""en"")"),"Chocolate Cow")</f>
        <v>Chocolate Cow</v>
      </c>
      <c r="J77" s="105" t="s">
        <v>653</v>
      </c>
      <c r="K77" s="105" t="str">
        <f>IFERROR(__xludf.DUMMYFUNCTION("GOOGLETRANSLATE(J77,""he"",""en"")"),"Cow Chocolate strawberry filling, 100 g")</f>
        <v>Cow Chocolate strawberry filling, 100 g</v>
      </c>
      <c r="L77" s="104" t="s">
        <v>657</v>
      </c>
      <c r="M77" s="105" t="s">
        <v>6346</v>
      </c>
      <c r="N77" s="108" t="s">
        <v>6348</v>
      </c>
      <c r="O77" s="109"/>
      <c r="P77" s="109"/>
      <c r="Q77" s="115" t="s">
        <v>656</v>
      </c>
      <c r="R77" s="115"/>
      <c r="S77" s="117"/>
      <c r="T77" s="102"/>
      <c r="U77" s="102"/>
      <c r="V77" s="102"/>
      <c r="W77" s="102"/>
      <c r="X77" s="102"/>
      <c r="Y77" s="102"/>
      <c r="Z77" s="102"/>
      <c r="AA77" s="102"/>
      <c r="AB77" s="102"/>
      <c r="AC77" s="113"/>
      <c r="AD77" s="113"/>
      <c r="AE77" s="113"/>
    </row>
    <row r="78">
      <c r="A78" s="114">
        <v>7.290112351098E12</v>
      </c>
      <c r="B78" s="104" t="str">
        <f t="shared" si="1"/>
        <v>Chocolate-Cow_Cow milk chocolate pieces and nuts 100 g</v>
      </c>
      <c r="C78" s="105">
        <v>0.16</v>
      </c>
      <c r="D78" s="105">
        <v>0.08</v>
      </c>
      <c r="E78" s="105">
        <v>0.01</v>
      </c>
      <c r="F78" s="106">
        <f>ROUND('Meta data'!$B$1/E78,0)</f>
        <v>30</v>
      </c>
      <c r="G78" s="107"/>
      <c r="H78" s="105" t="s">
        <v>620</v>
      </c>
      <c r="I78" s="105" t="str">
        <f>IFERROR(__xludf.DUMMYFUNCTION("GOOGLETRANSLATE(H78,""he"",""en"")"),"Chocolate Cow")</f>
        <v>Chocolate Cow</v>
      </c>
      <c r="J78" s="105" t="s">
        <v>677</v>
      </c>
      <c r="K78" s="105" t="str">
        <f>IFERROR(__xludf.DUMMYFUNCTION("GOOGLETRANSLATE(J78,""he"",""en"")"),"Cow milk chocolate pieces and nuts 100 g")</f>
        <v>Cow milk chocolate pieces and nuts 100 g</v>
      </c>
      <c r="L78" s="104" t="s">
        <v>681</v>
      </c>
      <c r="M78" s="105" t="s">
        <v>6346</v>
      </c>
      <c r="N78" s="108" t="s">
        <v>6348</v>
      </c>
      <c r="O78" s="109"/>
      <c r="P78" s="109"/>
      <c r="Q78" s="115" t="s">
        <v>680</v>
      </c>
      <c r="R78" s="116"/>
      <c r="S78" s="118"/>
      <c r="T78" s="117"/>
      <c r="U78" s="102"/>
      <c r="V78" s="102"/>
      <c r="W78" s="102"/>
      <c r="X78" s="102"/>
      <c r="Y78" s="102"/>
      <c r="Z78" s="102"/>
      <c r="AA78" s="102"/>
      <c r="AB78" s="102"/>
      <c r="AC78" s="113"/>
      <c r="AD78" s="113"/>
      <c r="AE78" s="113"/>
    </row>
    <row r="79">
      <c r="A79" s="114">
        <v>7.2900087504E12</v>
      </c>
      <c r="B79" s="104" t="str">
        <f t="shared" si="1"/>
        <v>Chocolate-Cow_White Cow chocolate cookies, 100g</v>
      </c>
      <c r="C79" s="105">
        <v>0.16</v>
      </c>
      <c r="D79" s="105">
        <v>0.079</v>
      </c>
      <c r="E79" s="105">
        <v>0.02</v>
      </c>
      <c r="F79" s="106">
        <f>ROUND('Meta data'!$B$1/E79,0)</f>
        <v>15</v>
      </c>
      <c r="G79" s="107"/>
      <c r="H79" s="105" t="s">
        <v>620</v>
      </c>
      <c r="I79" s="105" t="str">
        <f>IFERROR(__xludf.DUMMYFUNCTION("GOOGLETRANSLATE(H79,""he"",""en"")"),"Chocolate Cow")</f>
        <v>Chocolate Cow</v>
      </c>
      <c r="J79" s="105" t="s">
        <v>689</v>
      </c>
      <c r="K79" s="105" t="str">
        <f>IFERROR(__xludf.DUMMYFUNCTION("GOOGLETRANSLATE(J79,""he"",""en"")"),"White Cow chocolate cookies, 100g")</f>
        <v>White Cow chocolate cookies, 100g</v>
      </c>
      <c r="L79" s="104" t="s">
        <v>693</v>
      </c>
      <c r="M79" s="105" t="s">
        <v>6346</v>
      </c>
      <c r="N79" s="108" t="s">
        <v>6348</v>
      </c>
      <c r="O79" s="109"/>
      <c r="P79" s="109"/>
      <c r="Q79" s="115" t="s">
        <v>692</v>
      </c>
      <c r="R79" s="116"/>
      <c r="S79" s="117"/>
      <c r="T79" s="117"/>
      <c r="U79" s="118"/>
      <c r="V79" s="117"/>
      <c r="W79" s="102"/>
      <c r="X79" s="102"/>
      <c r="Y79" s="102"/>
      <c r="Z79" s="102"/>
      <c r="AA79" s="102"/>
      <c r="AB79" s="102"/>
      <c r="AC79" s="113"/>
      <c r="AD79" s="113"/>
      <c r="AE79" s="113"/>
    </row>
    <row r="80">
      <c r="A80" s="114">
        <v>7.290107951623E12</v>
      </c>
      <c r="B80" s="104" t="str">
        <f t="shared" si="1"/>
        <v>Chocolate-Cow_Cow Chocolate Caramel Blondie and salt 100g</v>
      </c>
      <c r="C80" s="105">
        <v>0.16</v>
      </c>
      <c r="D80" s="105">
        <v>0.079</v>
      </c>
      <c r="E80" s="105">
        <v>0.02</v>
      </c>
      <c r="F80" s="106">
        <f>ROUND('Meta data'!$B$1/E80,0)</f>
        <v>15</v>
      </c>
      <c r="G80" s="107"/>
      <c r="H80" s="105" t="s">
        <v>620</v>
      </c>
      <c r="I80" s="105" t="str">
        <f>IFERROR(__xludf.DUMMYFUNCTION("GOOGLETRANSLATE(H80,""he"",""en"")"),"Chocolate Cow")</f>
        <v>Chocolate Cow</v>
      </c>
      <c r="J80" s="105" t="s">
        <v>638</v>
      </c>
      <c r="K80" s="105" t="str">
        <f>IFERROR(__xludf.DUMMYFUNCTION("GOOGLETRANSLATE(J80,""he"",""en"")"),"Cow Chocolate Caramel Blondie and salt 100g")</f>
        <v>Cow Chocolate Caramel Blondie and salt 100g</v>
      </c>
      <c r="L80" s="104" t="s">
        <v>644</v>
      </c>
      <c r="M80" s="105" t="s">
        <v>6349</v>
      </c>
      <c r="N80" s="108" t="s">
        <v>6350</v>
      </c>
      <c r="O80" s="109"/>
      <c r="P80" s="109"/>
      <c r="Q80" s="115" t="s">
        <v>643</v>
      </c>
      <c r="R80" s="116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13"/>
      <c r="AD80" s="113"/>
      <c r="AE80" s="113"/>
    </row>
    <row r="81">
      <c r="A81" s="114">
        <v>7.290112348548E12</v>
      </c>
      <c r="B81" s="104" t="str">
        <f t="shared" si="1"/>
        <v>Chocolate-Cow_White chocolate cow Rabbinate</v>
      </c>
      <c r="C81" s="105">
        <v>0.16</v>
      </c>
      <c r="D81" s="105">
        <v>0.079</v>
      </c>
      <c r="E81" s="105">
        <v>0.02</v>
      </c>
      <c r="F81" s="106">
        <f>ROUND('Meta data'!$B$1/E81,0)</f>
        <v>15</v>
      </c>
      <c r="G81" s="107"/>
      <c r="H81" s="105" t="s">
        <v>620</v>
      </c>
      <c r="I81" s="105" t="str">
        <f>IFERROR(__xludf.DUMMYFUNCTION("GOOGLETRANSLATE(H81,""he"",""en"")"),"Chocolate Cow")</f>
        <v>Chocolate Cow</v>
      </c>
      <c r="J81" s="105" t="s">
        <v>683</v>
      </c>
      <c r="K81" s="105" t="str">
        <f>IFERROR(__xludf.DUMMYFUNCTION("GOOGLETRANSLATE(J81,""he"",""en"")"),"White chocolate cow Rabbinate")</f>
        <v>White chocolate cow Rabbinate</v>
      </c>
      <c r="L81" s="104" t="s">
        <v>687</v>
      </c>
      <c r="M81" s="105" t="s">
        <v>6349</v>
      </c>
      <c r="N81" s="108" t="s">
        <v>6350</v>
      </c>
      <c r="O81" s="109"/>
      <c r="P81" s="109"/>
      <c r="Q81" s="115" t="s">
        <v>686</v>
      </c>
      <c r="R81" s="116"/>
      <c r="S81" s="124"/>
      <c r="T81" s="102"/>
      <c r="U81" s="102"/>
      <c r="V81" s="102"/>
      <c r="W81" s="102"/>
      <c r="X81" s="102"/>
      <c r="Y81" s="102"/>
      <c r="Z81" s="102"/>
      <c r="AA81" s="102"/>
      <c r="AB81" s="102"/>
      <c r="AC81" s="113"/>
      <c r="AD81" s="113"/>
      <c r="AE81" s="113"/>
    </row>
    <row r="82">
      <c r="A82" s="114">
        <v>7.290000336282E12</v>
      </c>
      <c r="B82" s="104" t="str">
        <f t="shared" si="1"/>
        <v>Cider-Galilee_Apple cider clear, 330 ml</v>
      </c>
      <c r="C82" s="105">
        <v>0.06</v>
      </c>
      <c r="D82" s="105">
        <v>0.225</v>
      </c>
      <c r="E82" s="105">
        <v>0.06</v>
      </c>
      <c r="F82" s="106">
        <f>ROUND('Meta data'!$B$1/E82,0)</f>
        <v>5</v>
      </c>
      <c r="G82" s="107"/>
      <c r="H82" s="105" t="s">
        <v>713</v>
      </c>
      <c r="I82" s="105" t="str">
        <f>IFERROR(__xludf.DUMMYFUNCTION("GOOGLETRANSLATE(H82,""he"",""en"")"),"Cider Galilee")</f>
        <v>Cider Galilee</v>
      </c>
      <c r="J82" s="105" t="s">
        <v>715</v>
      </c>
      <c r="K82" s="105" t="str">
        <f>IFERROR(__xludf.DUMMYFUNCTION("GOOGLETRANSLATE(J82,""he"",""en"")"),"Apple cider clear, 330 ml")</f>
        <v>Apple cider clear, 330 ml</v>
      </c>
      <c r="L82" s="104" t="s">
        <v>721</v>
      </c>
      <c r="M82" s="105" t="s">
        <v>6351</v>
      </c>
      <c r="N82" s="108" t="s">
        <v>6352</v>
      </c>
      <c r="O82" s="109"/>
      <c r="P82" s="109"/>
      <c r="Q82" s="111" t="s">
        <v>720</v>
      </c>
      <c r="R82" s="111"/>
      <c r="S82" s="118"/>
      <c r="T82" s="112"/>
      <c r="U82" s="102"/>
      <c r="V82" s="102"/>
      <c r="W82" s="102"/>
      <c r="X82" s="102"/>
      <c r="Y82" s="102"/>
      <c r="Z82" s="102"/>
      <c r="AA82" s="102"/>
      <c r="AB82" s="102"/>
      <c r="AC82" s="113"/>
      <c r="AD82" s="113"/>
      <c r="AE82" s="113"/>
    </row>
    <row r="83">
      <c r="A83" s="114">
        <v>7.290000161631E12</v>
      </c>
      <c r="B83" s="104" t="str">
        <f t="shared" si="1"/>
        <v>Click_snack click nougat filling out</v>
      </c>
      <c r="C83" s="105">
        <v>0.16</v>
      </c>
      <c r="D83" s="105">
        <v>0.037</v>
      </c>
      <c r="E83" s="105">
        <v>0.03</v>
      </c>
      <c r="F83" s="106">
        <f>ROUND('Meta data'!$B$1/E83,0)</f>
        <v>10</v>
      </c>
      <c r="G83" s="107"/>
      <c r="H83" s="105" t="s">
        <v>723</v>
      </c>
      <c r="I83" s="105" t="str">
        <f>IFERROR(__xludf.DUMMYFUNCTION("GOOGLETRANSLATE(H83,""he"",""en"")"),"Click")</f>
        <v>Click</v>
      </c>
      <c r="J83" s="105" t="s">
        <v>776</v>
      </c>
      <c r="K83" s="119" t="s">
        <v>6353</v>
      </c>
      <c r="L83" s="104" t="s">
        <v>780</v>
      </c>
      <c r="M83" s="105" t="s">
        <v>6302</v>
      </c>
      <c r="N83" s="108" t="s">
        <v>6303</v>
      </c>
      <c r="O83" s="109"/>
      <c r="P83" s="109"/>
      <c r="Q83" s="111" t="s">
        <v>779</v>
      </c>
      <c r="R83" s="111"/>
      <c r="S83" s="112"/>
      <c r="T83" s="112"/>
      <c r="U83" s="102"/>
      <c r="V83" s="102"/>
      <c r="W83" s="102"/>
      <c r="X83" s="102"/>
      <c r="Y83" s="102"/>
      <c r="Z83" s="102"/>
      <c r="AA83" s="102"/>
      <c r="AB83" s="102"/>
      <c r="AC83" s="113"/>
      <c r="AD83" s="113"/>
      <c r="AE83" s="113"/>
    </row>
    <row r="84">
      <c r="A84" s="114">
        <v>7.2909799E7</v>
      </c>
      <c r="B84" s="104" t="str">
        <f t="shared" si="1"/>
        <v>Click_Click Snack Nougat</v>
      </c>
      <c r="C84" s="105">
        <v>0.16</v>
      </c>
      <c r="D84" s="105">
        <v>0.037</v>
      </c>
      <c r="E84" s="105">
        <v>0.02</v>
      </c>
      <c r="F84" s="106">
        <f>ROUND('Meta data'!$B$1/E84,0)</f>
        <v>15</v>
      </c>
      <c r="G84" s="107"/>
      <c r="H84" s="105" t="s">
        <v>723</v>
      </c>
      <c r="I84" s="105" t="str">
        <f>IFERROR(__xludf.DUMMYFUNCTION("GOOGLETRANSLATE(H84,""he"",""en"")"),"Click")</f>
        <v>Click</v>
      </c>
      <c r="J84" s="105" t="s">
        <v>751</v>
      </c>
      <c r="K84" s="105" t="str">
        <f>IFERROR(__xludf.DUMMYFUNCTION("GOOGLETRANSLATE(J84,""he"",""en"")"),"Click Snack Nougat")</f>
        <v>Click Snack Nougat</v>
      </c>
      <c r="L84" s="104" t="s">
        <v>755</v>
      </c>
      <c r="M84" s="105" t="s">
        <v>6302</v>
      </c>
      <c r="N84" s="108" t="s">
        <v>6303</v>
      </c>
      <c r="O84" s="109"/>
      <c r="P84" s="109"/>
      <c r="Q84" s="111" t="s">
        <v>754</v>
      </c>
      <c r="R84" s="111"/>
      <c r="S84" s="112"/>
      <c r="T84" s="112"/>
      <c r="U84" s="102"/>
      <c r="V84" s="102"/>
      <c r="W84" s="102"/>
      <c r="X84" s="102"/>
      <c r="Y84" s="102"/>
      <c r="Z84" s="102"/>
      <c r="AA84" s="102"/>
      <c r="AB84" s="102"/>
      <c r="AC84" s="113"/>
      <c r="AD84" s="113"/>
      <c r="AE84" s="113"/>
    </row>
    <row r="85">
      <c r="A85" s="114">
        <v>7.290107649117E12</v>
      </c>
      <c r="B85" s="104" t="str">
        <f t="shared" si="1"/>
        <v>Click_Milk cream chocolate bar</v>
      </c>
      <c r="C85" s="105">
        <v>0.11</v>
      </c>
      <c r="D85" s="105">
        <v>0.03</v>
      </c>
      <c r="E85" s="105">
        <v>0.02</v>
      </c>
      <c r="F85" s="106">
        <f>ROUND('Meta data'!$B$1/E85,0)</f>
        <v>15</v>
      </c>
      <c r="G85" s="107"/>
      <c r="H85" s="105" t="s">
        <v>723</v>
      </c>
      <c r="I85" s="105" t="str">
        <f>IFERROR(__xludf.DUMMYFUNCTION("GOOGLETRANSLATE(H85,""he"",""en"")"),"Click")</f>
        <v>Click</v>
      </c>
      <c r="J85" s="105" t="s">
        <v>770</v>
      </c>
      <c r="K85" s="105" t="str">
        <f>IFERROR(__xludf.DUMMYFUNCTION("GOOGLETRANSLATE(J85,""he"",""en"")"),"Milk cream chocolate bar")</f>
        <v>Milk cream chocolate bar</v>
      </c>
      <c r="L85" s="104" t="s">
        <v>774</v>
      </c>
      <c r="M85" s="105" t="s">
        <v>6302</v>
      </c>
      <c r="N85" s="108" t="s">
        <v>6303</v>
      </c>
      <c r="O85" s="109"/>
      <c r="P85" s="109"/>
      <c r="Q85" s="111" t="s">
        <v>773</v>
      </c>
      <c r="R85" s="111"/>
      <c r="S85" s="112"/>
      <c r="T85" s="118"/>
      <c r="U85" s="112"/>
      <c r="V85" s="102"/>
      <c r="W85" s="102"/>
      <c r="X85" s="102"/>
      <c r="Y85" s="102"/>
      <c r="Z85" s="102"/>
      <c r="AA85" s="102"/>
      <c r="AB85" s="102"/>
      <c r="AC85" s="113"/>
      <c r="AD85" s="113"/>
      <c r="AE85" s="113"/>
    </row>
    <row r="86">
      <c r="A86" s="114">
        <v>7.290000161648E12</v>
      </c>
      <c r="B86" s="104" t="str">
        <f t="shared" si="1"/>
        <v>Click_click out of milk cream filled snack</v>
      </c>
      <c r="C86" s="105">
        <v>0.16</v>
      </c>
      <c r="D86" s="105">
        <v>0.037</v>
      </c>
      <c r="E86" s="105">
        <v>0.03</v>
      </c>
      <c r="F86" s="106">
        <f>ROUND('Meta data'!$B$1/E86,0)</f>
        <v>10</v>
      </c>
      <c r="G86" s="107"/>
      <c r="H86" s="105" t="s">
        <v>723</v>
      </c>
      <c r="I86" s="105" t="str">
        <f>IFERROR(__xludf.DUMMYFUNCTION("GOOGLETRANSLATE(H86,""he"",""en"")"),"Click")</f>
        <v>Click</v>
      </c>
      <c r="J86" s="105" t="s">
        <v>764</v>
      </c>
      <c r="K86" s="119" t="s">
        <v>6354</v>
      </c>
      <c r="L86" s="104" t="s">
        <v>768</v>
      </c>
      <c r="M86" s="105" t="s">
        <v>6302</v>
      </c>
      <c r="N86" s="108" t="s">
        <v>6303</v>
      </c>
      <c r="O86" s="109"/>
      <c r="P86" s="109"/>
      <c r="Q86" s="111" t="s">
        <v>767</v>
      </c>
      <c r="R86" s="115"/>
      <c r="S86" s="112"/>
      <c r="T86" s="102"/>
      <c r="U86" s="102"/>
      <c r="V86" s="102"/>
      <c r="W86" s="102"/>
      <c r="X86" s="102"/>
      <c r="Y86" s="102"/>
      <c r="Z86" s="102"/>
      <c r="AA86" s="102"/>
      <c r="AB86" s="102"/>
      <c r="AC86" s="113"/>
      <c r="AD86" s="113"/>
      <c r="AE86" s="113"/>
    </row>
    <row r="87">
      <c r="A87" s="114">
        <v>7.290112497918E12</v>
      </c>
      <c r="B87" s="104" t="str">
        <f t="shared" si="1"/>
        <v>Click_Snack milk chocolate milk cream</v>
      </c>
      <c r="C87" s="105">
        <v>0.16</v>
      </c>
      <c r="D87" s="105">
        <v>0.037</v>
      </c>
      <c r="E87" s="105">
        <v>0.02</v>
      </c>
      <c r="F87" s="106">
        <f>ROUND('Meta data'!$B$1/E87,0)</f>
        <v>15</v>
      </c>
      <c r="G87" s="107"/>
      <c r="H87" s="105" t="s">
        <v>723</v>
      </c>
      <c r="I87" s="105" t="str">
        <f>IFERROR(__xludf.DUMMYFUNCTION("GOOGLETRANSLATE(H87,""he"",""en"")"),"Click")</f>
        <v>Click</v>
      </c>
      <c r="J87" s="105" t="s">
        <v>782</v>
      </c>
      <c r="K87" s="105" t="str">
        <f>IFERROR(__xludf.DUMMYFUNCTION("GOOGLETRANSLATE(J87,""he"",""en"")"),"Snack milk chocolate milk cream")</f>
        <v>Snack milk chocolate milk cream</v>
      </c>
      <c r="L87" s="104" t="s">
        <v>786</v>
      </c>
      <c r="M87" s="105" t="s">
        <v>6302</v>
      </c>
      <c r="N87" s="108" t="s">
        <v>6355</v>
      </c>
      <c r="O87" s="109"/>
      <c r="P87" s="109"/>
      <c r="Q87" s="115" t="s">
        <v>785</v>
      </c>
      <c r="R87" s="116"/>
      <c r="S87" s="117"/>
      <c r="T87" s="118"/>
      <c r="U87" s="117"/>
      <c r="V87" s="117"/>
      <c r="W87" s="102"/>
      <c r="X87" s="102"/>
      <c r="Y87" s="102"/>
      <c r="Z87" s="102"/>
      <c r="AA87" s="102"/>
      <c r="AB87" s="102"/>
      <c r="AC87" s="113"/>
      <c r="AD87" s="113"/>
      <c r="AE87" s="113"/>
    </row>
    <row r="88">
      <c r="A88" s="114">
        <v>7.290112497901E12</v>
      </c>
      <c r="B88" s="104" t="str">
        <f t="shared" si="1"/>
        <v>Click_Snack milk cream and white chocolate</v>
      </c>
      <c r="C88" s="105">
        <v>0.16</v>
      </c>
      <c r="D88" s="105">
        <v>0.037</v>
      </c>
      <c r="E88" s="105">
        <v>0.02</v>
      </c>
      <c r="F88" s="106">
        <f>ROUND('Meta data'!$B$1/E88,0)</f>
        <v>15</v>
      </c>
      <c r="G88" s="107"/>
      <c r="H88" s="105" t="s">
        <v>723</v>
      </c>
      <c r="I88" s="105" t="str">
        <f>IFERROR(__xludf.DUMMYFUNCTION("GOOGLETRANSLATE(H88,""he"",""en"")"),"Click")</f>
        <v>Click</v>
      </c>
      <c r="J88" s="105" t="s">
        <v>788</v>
      </c>
      <c r="K88" s="105" t="str">
        <f>IFERROR(__xludf.DUMMYFUNCTION("GOOGLETRANSLATE(J88,""he"",""en"")"),"Snack milk cream and white chocolate")</f>
        <v>Snack milk cream and white chocolate</v>
      </c>
      <c r="L88" s="104" t="s">
        <v>792</v>
      </c>
      <c r="M88" s="105" t="s">
        <v>6302</v>
      </c>
      <c r="N88" s="108" t="s">
        <v>6355</v>
      </c>
      <c r="O88" s="109"/>
      <c r="P88" s="109"/>
      <c r="Q88" s="115" t="s">
        <v>791</v>
      </c>
      <c r="R88" s="116"/>
      <c r="S88" s="118"/>
      <c r="T88" s="117"/>
      <c r="U88" s="117"/>
      <c r="V88" s="102"/>
      <c r="W88" s="102"/>
      <c r="X88" s="102"/>
      <c r="Y88" s="102"/>
      <c r="Z88" s="102"/>
      <c r="AA88" s="102"/>
      <c r="AB88" s="102"/>
      <c r="AC88" s="113"/>
      <c r="AD88" s="113"/>
      <c r="AE88" s="113"/>
    </row>
    <row r="89">
      <c r="A89" s="114">
        <v>7.290112494221E12</v>
      </c>
      <c r="B89" s="104" t="str">
        <f t="shared" si="1"/>
        <v>Click_Click Biscuit</v>
      </c>
      <c r="C89" s="105">
        <v>0.083</v>
      </c>
      <c r="D89" s="105">
        <v>0.12</v>
      </c>
      <c r="E89" s="105">
        <v>0.02</v>
      </c>
      <c r="F89" s="106">
        <f>ROUND('Meta data'!$B$1/E89,0)</f>
        <v>15</v>
      </c>
      <c r="G89" s="107"/>
      <c r="H89" s="105" t="s">
        <v>723</v>
      </c>
      <c r="I89" s="105" t="str">
        <f>IFERROR(__xludf.DUMMYFUNCTION("GOOGLETRANSLATE(H89,""he"",""en"")"),"Click")</f>
        <v>Click</v>
      </c>
      <c r="J89" s="105" t="s">
        <v>726</v>
      </c>
      <c r="K89" s="105" t="str">
        <f>IFERROR(__xludf.DUMMYFUNCTION("GOOGLETRANSLATE(J89,""he"",""en"")"),"Click Biscuit")</f>
        <v>Click Biscuit</v>
      </c>
      <c r="L89" s="104" t="s">
        <v>731</v>
      </c>
      <c r="M89" s="105" t="s">
        <v>6302</v>
      </c>
      <c r="N89" s="108" t="s">
        <v>6355</v>
      </c>
      <c r="O89" s="109"/>
      <c r="P89" s="109"/>
      <c r="Q89" s="115" t="s">
        <v>730</v>
      </c>
      <c r="R89" s="116"/>
      <c r="S89" s="117"/>
      <c r="T89" s="118"/>
      <c r="U89" s="117"/>
      <c r="V89" s="117"/>
      <c r="W89" s="102"/>
      <c r="X89" s="102"/>
      <c r="Y89" s="102"/>
      <c r="Z89" s="102"/>
      <c r="AA89" s="102"/>
      <c r="AB89" s="102"/>
      <c r="AC89" s="113"/>
      <c r="AD89" s="113"/>
      <c r="AE89" s="113"/>
    </row>
    <row r="90">
      <c r="A90" s="114">
        <v>7.290112494283E12</v>
      </c>
      <c r="B90" s="104" t="str">
        <f t="shared" si="1"/>
        <v>Click_Click the white heat</v>
      </c>
      <c r="C90" s="105">
        <v>0.083</v>
      </c>
      <c r="D90" s="105">
        <v>0.12</v>
      </c>
      <c r="E90" s="105">
        <v>0.02</v>
      </c>
      <c r="F90" s="106">
        <f>ROUND('Meta data'!$B$1/E90,0)</f>
        <v>15</v>
      </c>
      <c r="G90" s="107"/>
      <c r="H90" s="105" t="s">
        <v>723</v>
      </c>
      <c r="I90" s="105" t="str">
        <f>IFERROR(__xludf.DUMMYFUNCTION("GOOGLETRANSLATE(H90,""he"",""en"")"),"Click")</f>
        <v>Click</v>
      </c>
      <c r="J90" s="105" t="s">
        <v>758</v>
      </c>
      <c r="K90" s="105" t="str">
        <f>IFERROR(__xludf.DUMMYFUNCTION("GOOGLETRANSLATE(J90,""he"",""en"")"),"Click the white heat")</f>
        <v>Click the white heat</v>
      </c>
      <c r="L90" s="104" t="s">
        <v>762</v>
      </c>
      <c r="M90" s="105" t="s">
        <v>6302</v>
      </c>
      <c r="N90" s="108" t="s">
        <v>6355</v>
      </c>
      <c r="O90" s="109"/>
      <c r="P90" s="109"/>
      <c r="Q90" s="115" t="s">
        <v>761</v>
      </c>
      <c r="R90" s="116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13"/>
      <c r="AD90" s="113"/>
      <c r="AE90" s="113"/>
    </row>
    <row r="91">
      <c r="A91" s="114">
        <v>7.290112494238E12</v>
      </c>
      <c r="B91" s="104" t="str">
        <f t="shared" si="1"/>
        <v>Click_Click pills</v>
      </c>
      <c r="C91" s="105">
        <v>0.083</v>
      </c>
      <c r="D91" s="105">
        <v>0.12</v>
      </c>
      <c r="E91" s="105">
        <v>0.02</v>
      </c>
      <c r="F91" s="106">
        <f>ROUND('Meta data'!$B$1/E91,0)</f>
        <v>15</v>
      </c>
      <c r="G91" s="107"/>
      <c r="H91" s="105" t="s">
        <v>723</v>
      </c>
      <c r="I91" s="105" t="str">
        <f>IFERROR(__xludf.DUMMYFUNCTION("GOOGLETRANSLATE(H91,""he"",""en"")"),"Click")</f>
        <v>Click</v>
      </c>
      <c r="J91" s="105" t="s">
        <v>745</v>
      </c>
      <c r="K91" s="105" t="str">
        <f>IFERROR(__xludf.DUMMYFUNCTION("GOOGLETRANSLATE(J91,""he"",""en"")"),"Click pills")</f>
        <v>Click pills</v>
      </c>
      <c r="L91" s="104" t="s">
        <v>749</v>
      </c>
      <c r="M91" s="105" t="s">
        <v>6302</v>
      </c>
      <c r="N91" s="108" t="s">
        <v>6355</v>
      </c>
      <c r="O91" s="109"/>
      <c r="P91" s="109"/>
      <c r="Q91" s="115" t="s">
        <v>748</v>
      </c>
      <c r="R91" s="116"/>
      <c r="S91" s="118"/>
      <c r="T91" s="117"/>
      <c r="U91" s="117"/>
      <c r="V91" s="102"/>
      <c r="W91" s="102"/>
      <c r="X91" s="102"/>
      <c r="Y91" s="102"/>
      <c r="Z91" s="102"/>
      <c r="AA91" s="102"/>
      <c r="AB91" s="102"/>
      <c r="AC91" s="113"/>
      <c r="AD91" s="113"/>
      <c r="AE91" s="113"/>
    </row>
    <row r="92">
      <c r="A92" s="114">
        <v>7.290112494276E12</v>
      </c>
      <c r="B92" s="104" t="str">
        <f t="shared" si="1"/>
        <v>Click_Click pillows</v>
      </c>
      <c r="C92" s="105">
        <v>0.083</v>
      </c>
      <c r="D92" s="105">
        <v>0.12</v>
      </c>
      <c r="E92" s="105">
        <v>0.02</v>
      </c>
      <c r="F92" s="106">
        <f>ROUND('Meta data'!$B$1/E92,0)</f>
        <v>15</v>
      </c>
      <c r="G92" s="107"/>
      <c r="H92" s="105" t="s">
        <v>723</v>
      </c>
      <c r="I92" s="105" t="str">
        <f>IFERROR(__xludf.DUMMYFUNCTION("GOOGLETRANSLATE(H92,""he"",""en"")"),"Click")</f>
        <v>Click</v>
      </c>
      <c r="J92" s="105" t="s">
        <v>739</v>
      </c>
      <c r="K92" s="105" t="str">
        <f>IFERROR(__xludf.DUMMYFUNCTION("GOOGLETRANSLATE(J92,""he"",""en"")"),"Click pillows")</f>
        <v>Click pillows</v>
      </c>
      <c r="L92" s="104" t="s">
        <v>743</v>
      </c>
      <c r="M92" s="105" t="s">
        <v>6302</v>
      </c>
      <c r="N92" s="108" t="s">
        <v>6355</v>
      </c>
      <c r="O92" s="109"/>
      <c r="P92" s="109"/>
      <c r="Q92" s="115" t="s">
        <v>742</v>
      </c>
      <c r="R92" s="111"/>
      <c r="S92" s="117"/>
      <c r="T92" s="118"/>
      <c r="U92" s="117"/>
      <c r="V92" s="102"/>
      <c r="W92" s="102"/>
      <c r="X92" s="102"/>
      <c r="Y92" s="102"/>
      <c r="Z92" s="102"/>
      <c r="AA92" s="102"/>
      <c r="AB92" s="102"/>
      <c r="AC92" s="113"/>
      <c r="AD92" s="113"/>
      <c r="AE92" s="113"/>
    </row>
    <row r="93">
      <c r="A93" s="114">
        <v>7.290112494313E12</v>
      </c>
      <c r="B93" s="104" t="str">
        <f t="shared" si="1"/>
        <v>Click_Click cornflakes</v>
      </c>
      <c r="C93" s="105">
        <v>0.083</v>
      </c>
      <c r="D93" s="105">
        <v>0.12</v>
      </c>
      <c r="E93" s="105">
        <v>0.02</v>
      </c>
      <c r="F93" s="106">
        <f>ROUND('Meta data'!$B$1/E93,0)</f>
        <v>15</v>
      </c>
      <c r="G93" s="107"/>
      <c r="H93" s="105" t="s">
        <v>723</v>
      </c>
      <c r="I93" s="105" t="str">
        <f>IFERROR(__xludf.DUMMYFUNCTION("GOOGLETRANSLATE(H93,""he"",""en"")"),"Click")</f>
        <v>Click</v>
      </c>
      <c r="J93" s="105" t="s">
        <v>733</v>
      </c>
      <c r="K93" s="105" t="str">
        <f>IFERROR(__xludf.DUMMYFUNCTION("GOOGLETRANSLATE(J93,""he"",""en"")"),"Click cornflakes")</f>
        <v>Click cornflakes</v>
      </c>
      <c r="L93" s="104" t="s">
        <v>737</v>
      </c>
      <c r="M93" s="105" t="s">
        <v>6302</v>
      </c>
      <c r="N93" s="108" t="s">
        <v>6355</v>
      </c>
      <c r="O93" s="109"/>
      <c r="P93" s="109"/>
      <c r="Q93" s="115" t="s">
        <v>736</v>
      </c>
      <c r="R93" s="116"/>
      <c r="S93" s="117"/>
      <c r="T93" s="117"/>
      <c r="U93" s="117"/>
      <c r="V93" s="102"/>
      <c r="W93" s="102"/>
      <c r="X93" s="102"/>
      <c r="Y93" s="102"/>
      <c r="Z93" s="102"/>
      <c r="AA93" s="102"/>
      <c r="AB93" s="102"/>
      <c r="AC93" s="113"/>
      <c r="AD93" s="113"/>
      <c r="AE93" s="113"/>
    </row>
    <row r="94">
      <c r="A94" s="114">
        <v>7.29001101788E12</v>
      </c>
      <c r="B94" s="104" t="str">
        <f t="shared" si="1"/>
        <v>Coca-Cola_Diet Coke can</v>
      </c>
      <c r="C94" s="105">
        <v>0.057</v>
      </c>
      <c r="D94" s="105">
        <v>0.14</v>
      </c>
      <c r="E94" s="105">
        <v>0.057</v>
      </c>
      <c r="F94" s="106">
        <f>ROUND('Meta data'!$B$1/E94,0)</f>
        <v>5</v>
      </c>
      <c r="G94" s="107"/>
      <c r="H94" s="105" t="s">
        <v>794</v>
      </c>
      <c r="I94" s="105" t="str">
        <f>IFERROR(__xludf.DUMMYFUNCTION("GOOGLETRANSLATE(H94,""he"",""en"")"),"Coca-Cola")</f>
        <v>Coca-Cola</v>
      </c>
      <c r="J94" s="105" t="s">
        <v>868</v>
      </c>
      <c r="K94" s="105" t="str">
        <f>IFERROR(__xludf.DUMMYFUNCTION("GOOGLETRANSLATE(J94,""he"",""en"")"),"Diet Coke can")</f>
        <v>Diet Coke can</v>
      </c>
      <c r="L94" s="104" t="s">
        <v>872</v>
      </c>
      <c r="M94" s="105" t="s">
        <v>6356</v>
      </c>
      <c r="N94" s="108" t="s">
        <v>6357</v>
      </c>
      <c r="O94" s="109"/>
      <c r="P94" s="109"/>
      <c r="Q94" s="111" t="s">
        <v>871</v>
      </c>
      <c r="R94" s="125"/>
      <c r="S94" s="112"/>
      <c r="T94" s="112"/>
      <c r="U94" s="102"/>
      <c r="V94" s="102"/>
      <c r="W94" s="102"/>
      <c r="X94" s="102"/>
      <c r="Y94" s="102"/>
      <c r="Z94" s="102"/>
      <c r="AA94" s="102"/>
      <c r="AB94" s="102"/>
      <c r="AC94" s="113"/>
      <c r="AD94" s="113"/>
      <c r="AE94" s="113"/>
    </row>
    <row r="95">
      <c r="A95" s="114">
        <v>7.290011017873E12</v>
      </c>
      <c r="B95" s="104" t="str">
        <f t="shared" si="1"/>
        <v>Coca-Cola_Coca-Cola Zero can of 330 ml</v>
      </c>
      <c r="C95" s="105">
        <v>0.057</v>
      </c>
      <c r="D95" s="105">
        <v>0.14</v>
      </c>
      <c r="E95" s="105">
        <v>0.057</v>
      </c>
      <c r="F95" s="106">
        <f>ROUND('Meta data'!$B$1/E95,0)</f>
        <v>5</v>
      </c>
      <c r="G95" s="107"/>
      <c r="H95" s="105" t="s">
        <v>794</v>
      </c>
      <c r="I95" s="105" t="str">
        <f>IFERROR(__xludf.DUMMYFUNCTION("GOOGLETRANSLATE(H95,""he"",""en"")"),"Coca-Cola")</f>
        <v>Coca-Cola</v>
      </c>
      <c r="J95" s="105" t="s">
        <v>837</v>
      </c>
      <c r="K95" s="105" t="str">
        <f>IFERROR(__xludf.DUMMYFUNCTION("GOOGLETRANSLATE(J95,""he"",""en"")"),"Coca-Cola Zero can of 330 ml")</f>
        <v>Coca-Cola Zero can of 330 ml</v>
      </c>
      <c r="L95" s="104" t="s">
        <v>842</v>
      </c>
      <c r="M95" s="105" t="s">
        <v>6356</v>
      </c>
      <c r="N95" s="108" t="s">
        <v>6357</v>
      </c>
      <c r="O95" s="109"/>
      <c r="P95" s="109"/>
      <c r="Q95" s="111" t="s">
        <v>841</v>
      </c>
      <c r="R95" s="111"/>
      <c r="T95" s="102"/>
      <c r="U95" s="102"/>
      <c r="V95" s="102"/>
      <c r="W95" s="102"/>
      <c r="X95" s="102"/>
      <c r="Y95" s="102"/>
      <c r="Z95" s="102"/>
      <c r="AA95" s="102"/>
      <c r="AB95" s="102"/>
      <c r="AC95" s="113"/>
      <c r="AD95" s="113"/>
      <c r="AE95" s="113"/>
    </row>
    <row r="96">
      <c r="A96" s="114">
        <v>7.290008909853E12</v>
      </c>
      <c r="B96" s="104" t="str">
        <f t="shared" si="1"/>
        <v>Coca-Cola_Coke ZERO 500 ml</v>
      </c>
      <c r="C96" s="105">
        <v>0.065</v>
      </c>
      <c r="D96" s="105">
        <v>0.24</v>
      </c>
      <c r="E96" s="105">
        <v>0.065</v>
      </c>
      <c r="F96" s="106">
        <f>ROUND('Meta data'!$B$1/E96,0)</f>
        <v>5</v>
      </c>
      <c r="G96" s="107"/>
      <c r="H96" s="105" t="s">
        <v>794</v>
      </c>
      <c r="I96" s="105" t="str">
        <f>IFERROR(__xludf.DUMMYFUNCTION("GOOGLETRANSLATE(H96,""he"",""en"")"),"Coca-Cola")</f>
        <v>Coca-Cola</v>
      </c>
      <c r="J96" s="105" t="s">
        <v>856</v>
      </c>
      <c r="K96" s="105" t="str">
        <f>IFERROR(__xludf.DUMMYFUNCTION("GOOGLETRANSLATE(J96,""he"",""en"")"),"Coke ZERO 500 ml")</f>
        <v>Coke ZERO 500 ml</v>
      </c>
      <c r="L96" s="104" t="s">
        <v>860</v>
      </c>
      <c r="M96" s="105" t="s">
        <v>6356</v>
      </c>
      <c r="N96" s="108" t="s">
        <v>6357</v>
      </c>
      <c r="O96" s="109"/>
      <c r="P96" s="109"/>
      <c r="Q96" s="115" t="s">
        <v>859</v>
      </c>
      <c r="R96" s="116"/>
      <c r="S96" s="117"/>
      <c r="T96" s="118"/>
      <c r="U96" s="117"/>
      <c r="V96" s="102"/>
      <c r="W96" s="102"/>
      <c r="X96" s="102"/>
      <c r="Y96" s="102"/>
      <c r="Z96" s="102"/>
      <c r="AA96" s="102"/>
      <c r="AB96" s="102"/>
      <c r="AC96" s="113"/>
      <c r="AD96" s="113"/>
      <c r="AE96" s="113"/>
    </row>
    <row r="97">
      <c r="A97" s="114">
        <v>7.290001594186E12</v>
      </c>
      <c r="B97" s="104" t="str">
        <f t="shared" si="1"/>
        <v>Coca-Cola_Diet Coke - 500 ml</v>
      </c>
      <c r="C97" s="105">
        <v>0.065</v>
      </c>
      <c r="D97" s="105">
        <v>0.24</v>
      </c>
      <c r="E97" s="105">
        <v>0.065</v>
      </c>
      <c r="F97" s="106">
        <f>ROUND('Meta data'!$B$1/E97,0)</f>
        <v>5</v>
      </c>
      <c r="G97" s="107"/>
      <c r="H97" s="105" t="s">
        <v>794</v>
      </c>
      <c r="I97" s="105" t="str">
        <f>IFERROR(__xludf.DUMMYFUNCTION("GOOGLETRANSLATE(H97,""he"",""en"")"),"Coca-Cola")</f>
        <v>Coca-Cola</v>
      </c>
      <c r="J97" s="105" t="s">
        <v>862</v>
      </c>
      <c r="K97" s="105" t="str">
        <f>IFERROR(__xludf.DUMMYFUNCTION("GOOGLETRANSLATE(J97,""he"",""en"")"),"Diet Coke - 500 ml")</f>
        <v>Diet Coke - 500 ml</v>
      </c>
      <c r="L97" s="104" t="s">
        <v>866</v>
      </c>
      <c r="M97" s="105" t="s">
        <v>6356</v>
      </c>
      <c r="N97" s="108" t="s">
        <v>6357</v>
      </c>
      <c r="O97" s="109"/>
      <c r="P97" s="109"/>
      <c r="Q97" s="115" t="s">
        <v>865</v>
      </c>
      <c r="R97" s="116"/>
      <c r="S97" s="117"/>
      <c r="T97" s="117"/>
      <c r="U97" s="118"/>
      <c r="V97" s="117"/>
      <c r="W97" s="102"/>
      <c r="X97" s="102"/>
      <c r="Y97" s="102"/>
      <c r="Z97" s="102"/>
      <c r="AA97" s="102"/>
      <c r="AB97" s="102"/>
      <c r="AC97" s="113"/>
      <c r="AD97" s="113"/>
      <c r="AE97" s="113"/>
    </row>
    <row r="98">
      <c r="A98" s="114">
        <v>7.290008909884E12</v>
      </c>
      <c r="B98" s="104" t="str">
        <f t="shared" si="1"/>
        <v>Coca-Cola_Coca-Cola Zero ZERO classic glass, 350 ml</v>
      </c>
      <c r="C98" s="105">
        <v>0.058</v>
      </c>
      <c r="D98" s="105">
        <v>0.212</v>
      </c>
      <c r="E98" s="105">
        <v>0.058</v>
      </c>
      <c r="F98" s="106">
        <f>ROUND('Meta data'!$B$1/E98,0)</f>
        <v>5</v>
      </c>
      <c r="G98" s="107"/>
      <c r="H98" s="105" t="s">
        <v>794</v>
      </c>
      <c r="I98" s="105" t="str">
        <f>IFERROR(__xludf.DUMMYFUNCTION("GOOGLETRANSLATE(H98,""he"",""en"")"),"Coca-Cola")</f>
        <v>Coca-Cola</v>
      </c>
      <c r="J98" s="105" t="s">
        <v>844</v>
      </c>
      <c r="K98" s="105" t="str">
        <f>IFERROR(__xludf.DUMMYFUNCTION("GOOGLETRANSLATE(J98,""he"",""en"")"),"Coca-Cola Zero ZERO classic glass, 350 ml")</f>
        <v>Coca-Cola Zero ZERO classic glass, 350 ml</v>
      </c>
      <c r="L98" s="104" t="s">
        <v>848</v>
      </c>
      <c r="M98" s="105" t="s">
        <v>6356</v>
      </c>
      <c r="N98" s="108" t="s">
        <v>6357</v>
      </c>
      <c r="O98" s="109"/>
      <c r="P98" s="109"/>
      <c r="Q98" s="111" t="s">
        <v>847</v>
      </c>
      <c r="R98" s="115"/>
      <c r="S98" s="112"/>
      <c r="T98" s="102"/>
      <c r="U98" s="102"/>
      <c r="V98" s="102"/>
      <c r="W98" s="102"/>
      <c r="X98" s="102"/>
      <c r="Y98" s="102"/>
      <c r="Z98" s="102"/>
      <c r="AA98" s="102"/>
      <c r="AB98" s="102"/>
      <c r="AC98" s="113"/>
      <c r="AD98" s="113"/>
      <c r="AE98" s="113"/>
    </row>
    <row r="99">
      <c r="A99" s="114">
        <v>7.290013585387E12</v>
      </c>
      <c r="B99" s="104" t="str">
        <f t="shared" si="1"/>
        <v>Coca-Cola_Coca-Cola Zero 1L</v>
      </c>
      <c r="C99" s="105">
        <v>0.095</v>
      </c>
      <c r="D99" s="105">
        <v>0.28</v>
      </c>
      <c r="E99" s="105">
        <v>0.095</v>
      </c>
      <c r="F99" s="106">
        <f>ROUND('Meta data'!$B$1/E99,0)</f>
        <v>3</v>
      </c>
      <c r="G99" s="107"/>
      <c r="H99" s="105" t="s">
        <v>794</v>
      </c>
      <c r="I99" s="105" t="str">
        <f>IFERROR(__xludf.DUMMYFUNCTION("GOOGLETRANSLATE(H99,""he"",""en"")"),"Coca-Cola")</f>
        <v>Coca-Cola</v>
      </c>
      <c r="J99" s="105" t="s">
        <v>831</v>
      </c>
      <c r="K99" s="105" t="str">
        <f>IFERROR(__xludf.DUMMYFUNCTION("GOOGLETRANSLATE(J99,""he"",""en"")"),"Coca-Cola Zero 1L")</f>
        <v>Coca-Cola Zero 1L</v>
      </c>
      <c r="L99" s="104" t="s">
        <v>835</v>
      </c>
      <c r="M99" s="105" t="s">
        <v>6356</v>
      </c>
      <c r="N99" s="108" t="s">
        <v>6358</v>
      </c>
      <c r="O99" s="109"/>
      <c r="P99" s="109"/>
      <c r="Q99" s="115" t="s">
        <v>834</v>
      </c>
      <c r="R99" s="116"/>
      <c r="S99" s="118"/>
      <c r="T99" s="117"/>
      <c r="U99" s="102"/>
      <c r="V99" s="102"/>
      <c r="W99" s="102"/>
      <c r="X99" s="102"/>
      <c r="Y99" s="102"/>
      <c r="Z99" s="102"/>
      <c r="AA99" s="102"/>
      <c r="AB99" s="102"/>
      <c r="AC99" s="113"/>
      <c r="AD99" s="113"/>
      <c r="AE99" s="113"/>
    </row>
    <row r="100">
      <c r="A100" s="114">
        <v>7.29000890986E12</v>
      </c>
      <c r="B100" s="104" t="str">
        <f t="shared" si="1"/>
        <v>Coca-Cola_Coke ZERO 1.5 liters</v>
      </c>
      <c r="C100" s="105">
        <v>0.095</v>
      </c>
      <c r="D100" s="105">
        <v>0.333</v>
      </c>
      <c r="E100" s="105">
        <v>0.095</v>
      </c>
      <c r="F100" s="106">
        <f>ROUND('Meta data'!$B$1/E100,0)</f>
        <v>3</v>
      </c>
      <c r="G100" s="107"/>
      <c r="H100" s="105" t="s">
        <v>794</v>
      </c>
      <c r="I100" s="105" t="str">
        <f>IFERROR(__xludf.DUMMYFUNCTION("GOOGLETRANSLATE(H100,""he"",""en"")"),"Coca-Cola")</f>
        <v>Coca-Cola</v>
      </c>
      <c r="J100" s="105" t="s">
        <v>850</v>
      </c>
      <c r="K100" s="105" t="str">
        <f>IFERROR(__xludf.DUMMYFUNCTION("GOOGLETRANSLATE(J100,""he"",""en"")"),"Coke ZERO 1.5 liters")</f>
        <v>Coke ZERO 1.5 liters</v>
      </c>
      <c r="L100" s="104" t="s">
        <v>854</v>
      </c>
      <c r="M100" s="105" t="s">
        <v>6356</v>
      </c>
      <c r="N100" s="108" t="s">
        <v>6358</v>
      </c>
      <c r="O100" s="109"/>
      <c r="P100" s="109"/>
      <c r="Q100" s="111" t="s">
        <v>853</v>
      </c>
      <c r="R100" s="111"/>
      <c r="S100" s="118"/>
      <c r="T100" s="112"/>
      <c r="U100" s="102"/>
      <c r="V100" s="102"/>
      <c r="W100" s="102"/>
      <c r="X100" s="102"/>
      <c r="Y100" s="102"/>
      <c r="Z100" s="102"/>
      <c r="AA100" s="102"/>
      <c r="AB100" s="102"/>
      <c r="AC100" s="113"/>
      <c r="AD100" s="113"/>
      <c r="AE100" s="113"/>
    </row>
    <row r="101">
      <c r="A101" s="114">
        <v>7.290000284316E12</v>
      </c>
      <c r="B101" s="104" t="str">
        <f t="shared" si="1"/>
        <v>Coca-Cola_Coca-Cola bottle 1.5 liter</v>
      </c>
      <c r="C101" s="105">
        <v>0.095</v>
      </c>
      <c r="D101" s="105">
        <v>0.333</v>
      </c>
      <c r="E101" s="105">
        <v>0.095</v>
      </c>
      <c r="F101" s="106">
        <f>ROUND('Meta data'!$B$1/E101,0)</f>
        <v>3</v>
      </c>
      <c r="G101" s="107"/>
      <c r="H101" s="105" t="s">
        <v>794</v>
      </c>
      <c r="I101" s="105" t="str">
        <f>IFERROR(__xludf.DUMMYFUNCTION("GOOGLETRANSLATE(H101,""he"",""en"")"),"Coca-Cola")</f>
        <v>Coca-Cola</v>
      </c>
      <c r="J101" s="105" t="s">
        <v>811</v>
      </c>
      <c r="K101" s="105" t="str">
        <f>IFERROR(__xludf.DUMMYFUNCTION("GOOGLETRANSLATE(J101,""he"",""en"")"),"Coca-Cola bottle 1.5 liter")</f>
        <v>Coca-Cola bottle 1.5 liter</v>
      </c>
      <c r="L101" s="104" t="s">
        <v>817</v>
      </c>
      <c r="M101" s="105" t="s">
        <v>6356</v>
      </c>
      <c r="N101" s="108" t="s">
        <v>6358</v>
      </c>
      <c r="O101" s="109"/>
      <c r="P101" s="109"/>
      <c r="Q101" s="115" t="s">
        <v>816</v>
      </c>
      <c r="R101" s="116"/>
      <c r="S101" s="117"/>
      <c r="T101" s="117"/>
      <c r="U101" s="117"/>
      <c r="V101" s="117"/>
      <c r="W101" s="102"/>
      <c r="X101" s="102"/>
      <c r="Y101" s="102"/>
      <c r="Z101" s="102"/>
      <c r="AA101" s="102"/>
      <c r="AB101" s="102"/>
      <c r="AC101" s="113"/>
      <c r="AD101" s="113"/>
      <c r="AE101" s="113"/>
    </row>
    <row r="102">
      <c r="A102" s="114">
        <v>7.290011017866E12</v>
      </c>
      <c r="B102" s="104" t="str">
        <f t="shared" si="1"/>
        <v>Coca-Cola_Coca-Cola can 330 ml</v>
      </c>
      <c r="C102" s="105">
        <v>0.057</v>
      </c>
      <c r="D102" s="105">
        <v>0.14</v>
      </c>
      <c r="E102" s="105">
        <v>0.057</v>
      </c>
      <c r="F102" s="106">
        <f>ROUND('Meta data'!$B$1/E102,0)</f>
        <v>5</v>
      </c>
      <c r="G102" s="107"/>
      <c r="H102" s="105" t="s">
        <v>794</v>
      </c>
      <c r="I102" s="105" t="str">
        <f>IFERROR(__xludf.DUMMYFUNCTION("GOOGLETRANSLATE(H102,""he"",""en"")"),"Coca-Cola")</f>
        <v>Coca-Cola</v>
      </c>
      <c r="J102" s="105" t="s">
        <v>819</v>
      </c>
      <c r="K102" s="105" t="str">
        <f>IFERROR(__xludf.DUMMYFUNCTION("GOOGLETRANSLATE(J102,""he"",""en"")"),"Coca-Cola can 330 ml")</f>
        <v>Coca-Cola can 330 ml</v>
      </c>
      <c r="L102" s="104" t="s">
        <v>823</v>
      </c>
      <c r="M102" s="105" t="s">
        <v>6359</v>
      </c>
      <c r="N102" s="108" t="s">
        <v>6360</v>
      </c>
      <c r="O102" s="109"/>
      <c r="P102" s="109"/>
      <c r="Q102" s="111" t="s">
        <v>822</v>
      </c>
      <c r="R102" s="115"/>
      <c r="S102" s="11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13"/>
      <c r="AD102" s="113"/>
      <c r="AE102" s="113"/>
    </row>
    <row r="103">
      <c r="A103" s="114">
        <v>7.290001594155E12</v>
      </c>
      <c r="B103" s="104" t="str">
        <f t="shared" si="1"/>
        <v>Coca-Cola_Coca-Cola plastic 500 ml</v>
      </c>
      <c r="C103" s="105">
        <v>0.065</v>
      </c>
      <c r="D103" s="105">
        <v>0.24</v>
      </c>
      <c r="E103" s="105">
        <v>0.065</v>
      </c>
      <c r="F103" s="106">
        <f>ROUND('Meta data'!$B$1/E103,0)</f>
        <v>5</v>
      </c>
      <c r="G103" s="107"/>
      <c r="H103" s="105" t="s">
        <v>794</v>
      </c>
      <c r="I103" s="105" t="str">
        <f>IFERROR(__xludf.DUMMYFUNCTION("GOOGLETRANSLATE(H103,""he"",""en"")"),"Coca-Cola")</f>
        <v>Coca-Cola</v>
      </c>
      <c r="J103" s="105" t="s">
        <v>825</v>
      </c>
      <c r="K103" s="105" t="str">
        <f>IFERROR(__xludf.DUMMYFUNCTION("GOOGLETRANSLATE(J103,""he"",""en"")"),"Coca-Cola plastic 500 ml")</f>
        <v>Coca-Cola plastic 500 ml</v>
      </c>
      <c r="L103" s="104" t="s">
        <v>829</v>
      </c>
      <c r="M103" s="105" t="s">
        <v>6359</v>
      </c>
      <c r="N103" s="108" t="s">
        <v>6360</v>
      </c>
      <c r="O103" s="109"/>
      <c r="P103" s="109"/>
      <c r="Q103" s="111" t="s">
        <v>828</v>
      </c>
      <c r="R103" s="115"/>
      <c r="S103" s="11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13"/>
      <c r="AD103" s="113"/>
      <c r="AE103" s="113"/>
    </row>
    <row r="104">
      <c r="A104" s="114">
        <v>7.290001594025E12</v>
      </c>
      <c r="B104" s="104" t="str">
        <f t="shared" si="1"/>
        <v>Coca-Cola_Coca-Cola 350 ml Class</v>
      </c>
      <c r="C104" s="105">
        <v>0.058</v>
      </c>
      <c r="D104" s="105">
        <v>0.212</v>
      </c>
      <c r="E104" s="105">
        <v>0.058</v>
      </c>
      <c r="F104" s="106">
        <f>ROUND('Meta data'!$B$1/E104,0)</f>
        <v>5</v>
      </c>
      <c r="G104" s="107"/>
      <c r="H104" s="105" t="s">
        <v>794</v>
      </c>
      <c r="I104" s="105" t="str">
        <f>IFERROR(__xludf.DUMMYFUNCTION("GOOGLETRANSLATE(H104,""he"",""en"")"),"Coca-Cola")</f>
        <v>Coca-Cola</v>
      </c>
      <c r="J104" s="105" t="s">
        <v>804</v>
      </c>
      <c r="K104" s="105" t="str">
        <f>IFERROR(__xludf.DUMMYFUNCTION("GOOGLETRANSLATE(J104,""he"",""en"")"),"Coca-Cola 350 ml Class")</f>
        <v>Coca-Cola 350 ml Class</v>
      </c>
      <c r="L104" s="104" t="s">
        <v>809</v>
      </c>
      <c r="M104" s="105" t="s">
        <v>6359</v>
      </c>
      <c r="N104" s="108" t="s">
        <v>6360</v>
      </c>
      <c r="O104" s="109"/>
      <c r="P104" s="109"/>
      <c r="Q104" s="111" t="s">
        <v>808</v>
      </c>
      <c r="R104" s="115"/>
      <c r="S104" s="117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13"/>
      <c r="AD104" s="113"/>
      <c r="AE104" s="113"/>
    </row>
    <row r="105">
      <c r="A105" s="114">
        <v>7.290000284361E12</v>
      </c>
      <c r="B105" s="104" t="str">
        <f t="shared" si="1"/>
        <v>Coca-Cola_Diet Coke, 1.5 liter</v>
      </c>
      <c r="C105" s="105">
        <v>0.095</v>
      </c>
      <c r="D105" s="105">
        <v>0.333</v>
      </c>
      <c r="E105" s="105">
        <v>0.095</v>
      </c>
      <c r="F105" s="106">
        <f>ROUND('Meta data'!$B$1/E105,0)</f>
        <v>3</v>
      </c>
      <c r="G105" s="107"/>
      <c r="H105" s="105" t="s">
        <v>794</v>
      </c>
      <c r="I105" s="105" t="str">
        <f>IFERROR(__xludf.DUMMYFUNCTION("GOOGLETRANSLATE(H105,""he"",""en"")"),"Coca-Cola")</f>
        <v>Coca-Cola</v>
      </c>
      <c r="J105" s="105" t="s">
        <v>874</v>
      </c>
      <c r="K105" s="105" t="str">
        <f>IFERROR(__xludf.DUMMYFUNCTION("GOOGLETRANSLATE(J105,""he"",""en"")"),"Diet Coke, 1.5 liter")</f>
        <v>Diet Coke, 1.5 liter</v>
      </c>
      <c r="L105" s="104" t="s">
        <v>878</v>
      </c>
      <c r="M105" s="105" t="s">
        <v>6356</v>
      </c>
      <c r="N105" s="108" t="s">
        <v>6361</v>
      </c>
      <c r="O105" s="109"/>
      <c r="P105" s="109"/>
      <c r="Q105" s="115" t="s">
        <v>877</v>
      </c>
      <c r="R105" s="116"/>
      <c r="S105" s="118"/>
      <c r="T105" s="117"/>
      <c r="U105" s="102"/>
      <c r="V105" s="102"/>
      <c r="W105" s="102"/>
      <c r="X105" s="102"/>
      <c r="Y105" s="102"/>
      <c r="Z105" s="102"/>
      <c r="AA105" s="102"/>
      <c r="AB105" s="102"/>
      <c r="AC105" s="113"/>
      <c r="AD105" s="113"/>
      <c r="AE105" s="113"/>
    </row>
    <row r="106">
      <c r="A106" s="114">
        <v>7.290013585394E12</v>
      </c>
      <c r="B106" s="104" t="str">
        <f t="shared" si="1"/>
        <v>Coca-Cola_Coca-Cola 1 liter</v>
      </c>
      <c r="C106" s="105">
        <v>0.095</v>
      </c>
      <c r="D106" s="105">
        <v>0.28</v>
      </c>
      <c r="E106" s="105">
        <v>0.095</v>
      </c>
      <c r="F106" s="106">
        <f>ROUND('Meta data'!$B$1/E106,0)</f>
        <v>3</v>
      </c>
      <c r="G106" s="107"/>
      <c r="H106" s="105" t="s">
        <v>794</v>
      </c>
      <c r="I106" s="105" t="str">
        <f>IFERROR(__xludf.DUMMYFUNCTION("GOOGLETRANSLATE(H106,""he"",""en"")"),"Coca-Cola")</f>
        <v>Coca-Cola</v>
      </c>
      <c r="J106" s="105" t="s">
        <v>796</v>
      </c>
      <c r="K106" s="105" t="str">
        <f>IFERROR(__xludf.DUMMYFUNCTION("GOOGLETRANSLATE(J106,""he"",""en"")"),"Coca-Cola 1 liter")</f>
        <v>Coca-Cola 1 liter</v>
      </c>
      <c r="L106" s="104" t="s">
        <v>802</v>
      </c>
      <c r="M106" s="105" t="s">
        <v>6359</v>
      </c>
      <c r="N106" s="108" t="s">
        <v>6361</v>
      </c>
      <c r="O106" s="109"/>
      <c r="P106" s="109"/>
      <c r="Q106" s="115" t="s">
        <v>801</v>
      </c>
      <c r="R106" s="116"/>
      <c r="S106" s="118"/>
      <c r="T106" s="117"/>
      <c r="U106" s="102"/>
      <c r="V106" s="102"/>
      <c r="W106" s="102"/>
      <c r="X106" s="102"/>
      <c r="Y106" s="102"/>
      <c r="Z106" s="102"/>
      <c r="AA106" s="102"/>
      <c r="AB106" s="102"/>
      <c r="AC106" s="113"/>
      <c r="AD106" s="113"/>
      <c r="AE106" s="113"/>
    </row>
    <row r="107">
      <c r="A107" s="114">
        <v>8.850161167041E12</v>
      </c>
      <c r="B107" s="104" t="str">
        <f t="shared" si="1"/>
        <v>Coco_Wai Coco coconut drink 270 ml</v>
      </c>
      <c r="C107" s="105">
        <v>0.055</v>
      </c>
      <c r="D107" s="105">
        <v>0.145</v>
      </c>
      <c r="E107" s="105">
        <v>0.055</v>
      </c>
      <c r="F107" s="106">
        <f>ROUND('Meta data'!$B$1/E107,0)</f>
        <v>5</v>
      </c>
      <c r="G107" s="107"/>
      <c r="H107" s="105" t="s">
        <v>880</v>
      </c>
      <c r="I107" s="105" t="str">
        <f>IFERROR(__xludf.DUMMYFUNCTION("GOOGLETRANSLATE(H107,""he"",""en"")"),"Coco")</f>
        <v>Coco</v>
      </c>
      <c r="J107" s="105" t="s">
        <v>890</v>
      </c>
      <c r="K107" s="105" t="str">
        <f>IFERROR(__xludf.DUMMYFUNCTION("GOOGLETRANSLATE(J107,""he"",""en"")"),"Wai Coco coconut drink 270 ml")</f>
        <v>Wai Coco coconut drink 270 ml</v>
      </c>
      <c r="L107" s="104" t="s">
        <v>894</v>
      </c>
      <c r="M107" s="105" t="s">
        <v>6329</v>
      </c>
      <c r="N107" s="108" t="s">
        <v>6362</v>
      </c>
      <c r="O107" s="109"/>
      <c r="P107" s="109"/>
      <c r="Q107" s="115" t="s">
        <v>893</v>
      </c>
      <c r="R107" s="115"/>
      <c r="S107" s="117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13"/>
      <c r="AD107" s="113"/>
      <c r="AE107" s="113"/>
    </row>
    <row r="108">
      <c r="A108" s="114">
        <v>8.850161160851E12</v>
      </c>
      <c r="B108" s="104" t="str">
        <f t="shared" si="1"/>
        <v>Coco_Coco Max 100% coconut water 350 ml</v>
      </c>
      <c r="C108" s="105">
        <v>0.06</v>
      </c>
      <c r="D108" s="105">
        <v>0.19</v>
      </c>
      <c r="E108" s="105">
        <v>0.06</v>
      </c>
      <c r="F108" s="106">
        <f>ROUND('Meta data'!$B$1/E108,0)</f>
        <v>5</v>
      </c>
      <c r="G108" s="107"/>
      <c r="H108" s="105" t="s">
        <v>880</v>
      </c>
      <c r="I108" s="105" t="str">
        <f>IFERROR(__xludf.DUMMYFUNCTION("GOOGLETRANSLATE(H108,""he"",""en"")"),"Coco")</f>
        <v>Coco</v>
      </c>
      <c r="J108" s="105" t="s">
        <v>882</v>
      </c>
      <c r="K108" s="105" t="str">
        <f>IFERROR(__xludf.DUMMYFUNCTION("GOOGLETRANSLATE(J108,""he"",""en"")"),"Coco Max 100% coconut water 350 ml")</f>
        <v>Coco Max 100% coconut water 350 ml</v>
      </c>
      <c r="L108" s="104" t="s">
        <v>887</v>
      </c>
      <c r="M108" s="105" t="s">
        <v>6329</v>
      </c>
      <c r="N108" s="108" t="s">
        <v>6362</v>
      </c>
      <c r="O108" s="109"/>
      <c r="P108" s="109"/>
      <c r="Q108" s="115" t="s">
        <v>886</v>
      </c>
      <c r="R108" s="115"/>
      <c r="S108" s="117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13"/>
      <c r="AD108" s="113"/>
      <c r="AE108" s="113"/>
    </row>
    <row r="109">
      <c r="A109" s="114">
        <v>8.850161167065E12</v>
      </c>
      <c r="B109" s="104" t="str">
        <f t="shared" si="1"/>
        <v>Coco_Wai Coco Coconut flavored drink 270 ml</v>
      </c>
      <c r="C109" s="105">
        <v>0.055</v>
      </c>
      <c r="D109" s="105">
        <v>0.145</v>
      </c>
      <c r="E109" s="105">
        <v>0.055</v>
      </c>
      <c r="F109" s="106">
        <f>ROUND('Meta data'!$B$1/E109,0)</f>
        <v>5</v>
      </c>
      <c r="G109" s="107"/>
      <c r="H109" s="105" t="s">
        <v>880</v>
      </c>
      <c r="I109" s="105" t="str">
        <f>IFERROR(__xludf.DUMMYFUNCTION("GOOGLETRANSLATE(H109,""he"",""en"")"),"Coco")</f>
        <v>Coco</v>
      </c>
      <c r="J109" s="105" t="s">
        <v>897</v>
      </c>
      <c r="K109" s="105" t="str">
        <f>IFERROR(__xludf.DUMMYFUNCTION("GOOGLETRANSLATE(J109,""he"",""en"")"),"Wai Coco Coconut flavored drink 270 ml")</f>
        <v>Wai Coco Coconut flavored drink 270 ml</v>
      </c>
      <c r="L109" s="104" t="s">
        <v>901</v>
      </c>
      <c r="M109" s="105" t="s">
        <v>6363</v>
      </c>
      <c r="N109" s="108" t="s">
        <v>6364</v>
      </c>
      <c r="O109" s="109"/>
      <c r="P109" s="109"/>
      <c r="Q109" s="115" t="s">
        <v>900</v>
      </c>
      <c r="R109" s="115"/>
      <c r="S109" s="117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13"/>
      <c r="AD109" s="113"/>
      <c r="AE109" s="113"/>
    </row>
    <row r="110">
      <c r="A110" s="114">
        <v>7.29001011797E12</v>
      </c>
      <c r="B110" s="104" t="str">
        <f t="shared" si="1"/>
        <v>Cool_50 American Peanut Cool J.</v>
      </c>
      <c r="C110" s="105">
        <v>0.06</v>
      </c>
      <c r="D110" s="105">
        <v>0.075</v>
      </c>
      <c r="E110" s="105">
        <v>0.24</v>
      </c>
      <c r="F110" s="106">
        <f>ROUND('Meta data'!$B$1/E110,0)</f>
        <v>1</v>
      </c>
      <c r="G110" s="107"/>
      <c r="H110" s="105" t="s">
        <v>4013</v>
      </c>
      <c r="I110" s="105" t="str">
        <f>IFERROR(__xludf.DUMMYFUNCTION("GOOGLETRANSLATE(H110,""he"",""en"")"),"Cool")</f>
        <v>Cool</v>
      </c>
      <c r="J110" s="105" t="s">
        <v>4015</v>
      </c>
      <c r="K110" s="105" t="str">
        <f>IFERROR(__xludf.DUMMYFUNCTION("GOOGLETRANSLATE(J110,""he"",""en"")"),"50 American Peanut Cool J.")</f>
        <v>50 American Peanut Cool J.</v>
      </c>
      <c r="L110" s="104" t="s">
        <v>4019</v>
      </c>
      <c r="M110" s="105" t="s">
        <v>6365</v>
      </c>
      <c r="N110" s="108" t="s">
        <v>6366</v>
      </c>
      <c r="O110" s="109"/>
      <c r="P110" s="109"/>
      <c r="Q110" s="111" t="s">
        <v>4018</v>
      </c>
      <c r="R110" s="111"/>
      <c r="S110" s="118"/>
      <c r="T110" s="112"/>
      <c r="U110" s="102"/>
      <c r="V110" s="102"/>
      <c r="W110" s="102"/>
      <c r="X110" s="102"/>
      <c r="Y110" s="102"/>
      <c r="Z110" s="102"/>
      <c r="AA110" s="102"/>
      <c r="AB110" s="102"/>
      <c r="AC110" s="113"/>
      <c r="AD110" s="113"/>
      <c r="AE110" s="113"/>
    </row>
    <row r="111">
      <c r="A111" s="114">
        <v>7.290106653504E12</v>
      </c>
      <c r="B111" s="104" t="str">
        <f t="shared" si="1"/>
        <v>Cool_Cool American peanut barbecue flavor 50 g</v>
      </c>
      <c r="C111" s="105">
        <v>0.06</v>
      </c>
      <c r="D111" s="105">
        <v>0.075</v>
      </c>
      <c r="E111" s="105">
        <v>0.24</v>
      </c>
      <c r="F111" s="106">
        <f>ROUND('Meta data'!$B$1/E111,0)</f>
        <v>1</v>
      </c>
      <c r="G111" s="107"/>
      <c r="H111" s="105" t="s">
        <v>4013</v>
      </c>
      <c r="I111" s="105" t="str">
        <f>IFERROR(__xludf.DUMMYFUNCTION("GOOGLETRANSLATE(H111,""he"",""en"")"),"Cool")</f>
        <v>Cool</v>
      </c>
      <c r="J111" s="105" t="s">
        <v>4021</v>
      </c>
      <c r="K111" s="105" t="str">
        <f>IFERROR(__xludf.DUMMYFUNCTION("GOOGLETRANSLATE(J111,""he"",""en"")"),"Cool American peanut barbecue flavor 50 g")</f>
        <v>Cool American peanut barbecue flavor 50 g</v>
      </c>
      <c r="L111" s="104" t="s">
        <v>4025</v>
      </c>
      <c r="M111" s="105" t="s">
        <v>6365</v>
      </c>
      <c r="N111" s="108" t="s">
        <v>6366</v>
      </c>
      <c r="O111" s="109"/>
      <c r="P111" s="109"/>
      <c r="Q111" s="111" t="s">
        <v>4024</v>
      </c>
      <c r="R111" s="111"/>
      <c r="S111" s="118"/>
      <c r="T111" s="112"/>
      <c r="U111" s="112"/>
      <c r="V111" s="102"/>
      <c r="W111" s="102"/>
      <c r="X111" s="102"/>
      <c r="Y111" s="102"/>
      <c r="Z111" s="102"/>
      <c r="AA111" s="102"/>
      <c r="AB111" s="102"/>
      <c r="AC111" s="113"/>
      <c r="AD111" s="113"/>
      <c r="AE111" s="113"/>
    </row>
    <row r="112">
      <c r="A112" s="114">
        <v>7.290002542506E12</v>
      </c>
      <c r="B112" s="104" t="str">
        <f t="shared" si="1"/>
        <v>Corona_Corona beer bottle, 355 ml</v>
      </c>
      <c r="C112" s="105">
        <v>0.058</v>
      </c>
      <c r="D112" s="105">
        <v>0.25</v>
      </c>
      <c r="E112" s="105">
        <v>0.058</v>
      </c>
      <c r="F112" s="106">
        <f>ROUND('Meta data'!$B$1/E112,0)</f>
        <v>5</v>
      </c>
      <c r="G112" s="107"/>
      <c r="H112" s="105" t="s">
        <v>912</v>
      </c>
      <c r="I112" s="105" t="str">
        <f>IFERROR(__xludf.DUMMYFUNCTION("GOOGLETRANSLATE(H112,""he"",""en"")"),"Corona")</f>
        <v>Corona</v>
      </c>
      <c r="J112" s="105" t="s">
        <v>915</v>
      </c>
      <c r="K112" s="105" t="str">
        <f>IFERROR(__xludf.DUMMYFUNCTION("GOOGLETRANSLATE(J112,""he"",""en"")"),"Corona beer bottle, 355 ml")</f>
        <v>Corona beer bottle, 355 ml</v>
      </c>
      <c r="L112" s="104" t="s">
        <v>919</v>
      </c>
      <c r="M112" s="105" t="s">
        <v>6332</v>
      </c>
      <c r="N112" s="108" t="s">
        <v>6367</v>
      </c>
      <c r="O112" s="109"/>
      <c r="P112" s="109"/>
      <c r="Q112" s="115" t="s">
        <v>918</v>
      </c>
      <c r="R112" s="116"/>
      <c r="S112" s="118"/>
      <c r="T112" s="117"/>
      <c r="U112" s="102"/>
      <c r="V112" s="102"/>
      <c r="W112" s="102"/>
      <c r="X112" s="102"/>
      <c r="Y112" s="102"/>
      <c r="Z112" s="102"/>
      <c r="AA112" s="102"/>
      <c r="AB112" s="102"/>
      <c r="AC112" s="113"/>
      <c r="AD112" s="113"/>
      <c r="AE112" s="113"/>
    </row>
    <row r="113">
      <c r="A113" s="114">
        <v>7.50106419669E12</v>
      </c>
      <c r="B113" s="104" t="str">
        <f t="shared" si="1"/>
        <v>Corona_Corona beer can 355 ml</v>
      </c>
      <c r="C113" s="105">
        <v>0.055</v>
      </c>
      <c r="D113" s="105">
        <v>0.16</v>
      </c>
      <c r="E113" s="105">
        <v>0.055</v>
      </c>
      <c r="F113" s="106">
        <f>ROUND('Meta data'!$B$1/E113,0)</f>
        <v>5</v>
      </c>
      <c r="G113" s="107"/>
      <c r="H113" s="105" t="s">
        <v>912</v>
      </c>
      <c r="I113" s="105" t="str">
        <f>IFERROR(__xludf.DUMMYFUNCTION("GOOGLETRANSLATE(H113,""he"",""en"")"),"Corona")</f>
        <v>Corona</v>
      </c>
      <c r="J113" s="105" t="s">
        <v>921</v>
      </c>
      <c r="K113" s="105" t="str">
        <f>IFERROR(__xludf.DUMMYFUNCTION("GOOGLETRANSLATE(J113,""he"",""en"")"),"Corona beer can 355 ml")</f>
        <v>Corona beer can 355 ml</v>
      </c>
      <c r="L113" s="104" t="s">
        <v>926</v>
      </c>
      <c r="M113" s="105" t="s">
        <v>6332</v>
      </c>
      <c r="N113" s="108" t="s">
        <v>6368</v>
      </c>
      <c r="O113" s="109"/>
      <c r="P113" s="109"/>
      <c r="Q113" s="115" t="s">
        <v>925</v>
      </c>
      <c r="R113" s="116"/>
      <c r="S113" s="117"/>
      <c r="T113" s="118"/>
      <c r="U113" s="117"/>
      <c r="V113" s="102"/>
      <c r="W113" s="102"/>
      <c r="X113" s="102"/>
      <c r="Y113" s="102"/>
      <c r="Z113" s="102"/>
      <c r="AA113" s="102"/>
      <c r="AB113" s="102"/>
      <c r="AC113" s="113"/>
      <c r="AD113" s="113"/>
      <c r="AE113" s="113"/>
    </row>
    <row r="114">
      <c r="A114" s="114">
        <v>7.290011194246E12</v>
      </c>
      <c r="B114" s="104" t="str">
        <f t="shared" si="1"/>
        <v>cottage'_Cottage 5% 250g</v>
      </c>
      <c r="C114" s="105">
        <v>0.09</v>
      </c>
      <c r="D114" s="105">
        <v>0.07</v>
      </c>
      <c r="E114" s="105">
        <v>0.095</v>
      </c>
      <c r="F114" s="106">
        <f>ROUND('Meta data'!$B$1/E114,0)</f>
        <v>3</v>
      </c>
      <c r="G114" s="107"/>
      <c r="H114" s="105" t="s">
        <v>5244</v>
      </c>
      <c r="I114" s="105" t="str">
        <f>IFERROR(__xludf.DUMMYFUNCTION("GOOGLETRANSLATE(H114,""he"",""en"")"),"cottage'")</f>
        <v>cottage'</v>
      </c>
      <c r="J114" s="105" t="s">
        <v>930</v>
      </c>
      <c r="K114" s="105" t="str">
        <f>IFERROR(__xludf.DUMMYFUNCTION("GOOGLETRANSLATE(J114,""he"",""en"")"),"Cottage 5% 250g")</f>
        <v>Cottage 5% 250g</v>
      </c>
      <c r="L114" s="104" t="s">
        <v>936</v>
      </c>
      <c r="M114" s="105" t="s">
        <v>6369</v>
      </c>
      <c r="N114" s="108" t="s">
        <v>6370</v>
      </c>
      <c r="O114" s="109"/>
      <c r="P114" s="109"/>
      <c r="Q114" s="115" t="s">
        <v>935</v>
      </c>
      <c r="R114" s="116"/>
      <c r="S114" s="117"/>
      <c r="T114" s="118"/>
      <c r="U114" s="117"/>
      <c r="V114" s="102"/>
      <c r="W114" s="102"/>
      <c r="X114" s="102"/>
      <c r="Y114" s="102"/>
      <c r="Z114" s="102"/>
      <c r="AA114" s="102"/>
      <c r="AB114" s="102"/>
      <c r="AC114" s="113"/>
      <c r="AD114" s="113"/>
      <c r="AE114" s="113"/>
    </row>
    <row r="115">
      <c r="A115" s="114">
        <v>4127329.0</v>
      </c>
      <c r="B115" s="104" t="str">
        <f t="shared" si="1"/>
        <v>cottage'_Tnuva cottage Cup 250 grams of 5% and .mhdrin</v>
      </c>
      <c r="C115" s="105">
        <v>0.09</v>
      </c>
      <c r="D115" s="105">
        <v>0.09</v>
      </c>
      <c r="E115" s="105">
        <v>0.08</v>
      </c>
      <c r="F115" s="106">
        <f>ROUND('Meta data'!$B$1/E115,0)</f>
        <v>4</v>
      </c>
      <c r="G115" s="107"/>
      <c r="H115" s="105" t="s">
        <v>5244</v>
      </c>
      <c r="I115" s="105" t="str">
        <f>IFERROR(__xludf.DUMMYFUNCTION("GOOGLETRANSLATE(H115,""he"",""en"")"),"cottage'")</f>
        <v>cottage'</v>
      </c>
      <c r="J115" s="105" t="s">
        <v>941</v>
      </c>
      <c r="K115" s="105" t="str">
        <f>IFERROR(__xludf.DUMMYFUNCTION("GOOGLETRANSLATE(J115,""he"",""en"")"),"Tnuva cottage Cup 250 grams of 5% and .mhdrin")</f>
        <v>Tnuva cottage Cup 250 grams of 5% and .mhdrin</v>
      </c>
      <c r="L115" s="104" t="s">
        <v>945</v>
      </c>
      <c r="M115" s="105" t="s">
        <v>6369</v>
      </c>
      <c r="N115" s="108" t="s">
        <v>6370</v>
      </c>
      <c r="O115" s="109"/>
      <c r="P115" s="109"/>
      <c r="Q115" s="115" t="s">
        <v>944</v>
      </c>
      <c r="R115" s="116"/>
      <c r="S115" s="117"/>
      <c r="T115" s="118"/>
      <c r="U115" s="117"/>
      <c r="V115" s="102"/>
      <c r="W115" s="102"/>
      <c r="X115" s="102"/>
      <c r="Y115" s="102"/>
      <c r="Z115" s="102"/>
      <c r="AA115" s="102"/>
      <c r="AB115" s="102"/>
      <c r="AC115" s="113"/>
      <c r="AD115" s="113"/>
      <c r="AE115" s="113"/>
    </row>
    <row r="116">
      <c r="A116" s="114">
        <v>7.290000074245E12</v>
      </c>
      <c r="B116" s="104" t="str">
        <f t="shared" si="1"/>
        <v>Cracker_Cream Cracker barn. 250 grams</v>
      </c>
      <c r="C116" s="105">
        <v>0.2</v>
      </c>
      <c r="D116" s="105">
        <v>0.078</v>
      </c>
      <c r="E116" s="105">
        <v>0.075</v>
      </c>
      <c r="F116" s="106">
        <f>ROUND('Meta data'!$B$1/E116,0)</f>
        <v>4</v>
      </c>
      <c r="G116" s="107"/>
      <c r="H116" s="105" t="s">
        <v>948</v>
      </c>
      <c r="I116" s="105" t="str">
        <f>IFERROR(__xludf.DUMMYFUNCTION("GOOGLETRANSLATE(H116,""he"",""en"")"),"Cracker")</f>
        <v>Cracker</v>
      </c>
      <c r="J116" s="105" t="s">
        <v>965</v>
      </c>
      <c r="K116" s="105" t="str">
        <f>IFERROR(__xludf.DUMMYFUNCTION("GOOGLETRANSLATE(J116,""he"",""en"")"),"Cream Cracker barn. 250 grams")</f>
        <v>Cream Cracker barn. 250 grams</v>
      </c>
      <c r="L116" s="104" t="s">
        <v>969</v>
      </c>
      <c r="M116" s="105" t="s">
        <v>6371</v>
      </c>
      <c r="N116" s="108" t="s">
        <v>948</v>
      </c>
      <c r="O116" s="109"/>
      <c r="P116" s="109"/>
      <c r="Q116" s="115" t="s">
        <v>968</v>
      </c>
      <c r="R116" s="116"/>
      <c r="S116" s="117"/>
      <c r="T116" s="117"/>
      <c r="U116" s="117"/>
      <c r="V116" s="102"/>
      <c r="W116" s="102"/>
      <c r="X116" s="102"/>
      <c r="Y116" s="102"/>
      <c r="Z116" s="102"/>
      <c r="AA116" s="102"/>
      <c r="AB116" s="102"/>
      <c r="AC116" s="113"/>
      <c r="AD116" s="113"/>
      <c r="AE116" s="113"/>
    </row>
    <row r="117">
      <c r="A117" s="114">
        <v>7.290000074375E12</v>
      </c>
      <c r="B117" s="104" t="str">
        <f t="shared" si="1"/>
        <v>Cracker_Cracker gold, 150 g</v>
      </c>
      <c r="C117" s="105">
        <v>0.2</v>
      </c>
      <c r="D117" s="105">
        <v>0.06699999</v>
      </c>
      <c r="E117" s="105">
        <v>0.045</v>
      </c>
      <c r="F117" s="106">
        <f>ROUND('Meta data'!$B$1/E117,0)</f>
        <v>7</v>
      </c>
      <c r="G117" s="107"/>
      <c r="H117" s="105" t="s">
        <v>948</v>
      </c>
      <c r="I117" s="105" t="str">
        <f>IFERROR(__xludf.DUMMYFUNCTION("GOOGLETRANSLATE(H117,""he"",""en"")"),"Cracker")</f>
        <v>Cracker</v>
      </c>
      <c r="J117" s="105" t="s">
        <v>959</v>
      </c>
      <c r="K117" s="105" t="str">
        <f>IFERROR(__xludf.DUMMYFUNCTION("GOOGLETRANSLATE(J117,""he"",""en"")"),"Cracker gold, 150 g")</f>
        <v>Cracker gold, 150 g</v>
      </c>
      <c r="L117" s="104" t="s">
        <v>963</v>
      </c>
      <c r="M117" s="105" t="s">
        <v>6371</v>
      </c>
      <c r="N117" s="108" t="s">
        <v>948</v>
      </c>
      <c r="O117" s="109"/>
      <c r="P117" s="109"/>
      <c r="Q117" s="115" t="s">
        <v>962</v>
      </c>
      <c r="R117" s="116"/>
      <c r="S117" s="117"/>
      <c r="T117" s="117"/>
      <c r="U117" s="117"/>
      <c r="V117" s="102"/>
      <c r="W117" s="102"/>
      <c r="X117" s="102"/>
      <c r="Y117" s="102"/>
      <c r="Z117" s="102"/>
      <c r="AA117" s="102"/>
      <c r="AB117" s="102"/>
      <c r="AC117" s="113"/>
      <c r="AD117" s="113"/>
      <c r="AE117" s="113"/>
    </row>
    <row r="118">
      <c r="A118" s="114">
        <v>7.290000074252E12</v>
      </c>
      <c r="B118" s="104" t="str">
        <f t="shared" si="1"/>
        <v>Cracker_Barn sesame cracker 250g</v>
      </c>
      <c r="C118" s="105">
        <v>0.2</v>
      </c>
      <c r="D118" s="105">
        <v>0.075</v>
      </c>
      <c r="E118" s="105">
        <v>0.055</v>
      </c>
      <c r="F118" s="106">
        <f>ROUND('Meta data'!$B$1/E118,0)</f>
        <v>5</v>
      </c>
      <c r="G118" s="107"/>
      <c r="H118" s="105" t="s">
        <v>948</v>
      </c>
      <c r="I118" s="105" t="str">
        <f>IFERROR(__xludf.DUMMYFUNCTION("GOOGLETRANSLATE(H118,""he"",""en"")"),"Cracker")</f>
        <v>Cracker</v>
      </c>
      <c r="J118" s="105" t="s">
        <v>951</v>
      </c>
      <c r="K118" s="105" t="str">
        <f>IFERROR(__xludf.DUMMYFUNCTION("GOOGLETRANSLATE(J118,""he"",""en"")"),"Barn sesame cracker 250g")</f>
        <v>Barn sesame cracker 250g</v>
      </c>
      <c r="L118" s="104" t="s">
        <v>956</v>
      </c>
      <c r="M118" s="105" t="s">
        <v>6371</v>
      </c>
      <c r="N118" s="108" t="s">
        <v>948</v>
      </c>
      <c r="O118" s="109"/>
      <c r="P118" s="109"/>
      <c r="Q118" s="111" t="s">
        <v>955</v>
      </c>
      <c r="R118" s="111"/>
      <c r="S118" s="112"/>
      <c r="T118" s="112"/>
      <c r="U118" s="102"/>
      <c r="V118" s="102"/>
      <c r="W118" s="102"/>
      <c r="X118" s="102"/>
      <c r="Y118" s="102"/>
      <c r="Z118" s="102"/>
      <c r="AA118" s="102"/>
      <c r="AB118" s="102"/>
      <c r="AC118" s="113"/>
      <c r="AD118" s="113"/>
      <c r="AE118" s="113"/>
    </row>
    <row r="119">
      <c r="A119" s="114">
        <v>1.6000548596E10</v>
      </c>
      <c r="B119" s="104" t="str">
        <f t="shared" si="1"/>
        <v>Crunch_Krantz"i single maple brown sugar 42 grams</v>
      </c>
      <c r="C119" s="105">
        <v>0.13</v>
      </c>
      <c r="D119" s="105">
        <v>0.045</v>
      </c>
      <c r="E119" s="105">
        <v>0.02</v>
      </c>
      <c r="F119" s="106">
        <f>ROUND('Meta data'!$B$1/E119,0)</f>
        <v>15</v>
      </c>
      <c r="G119" s="107"/>
      <c r="H119" s="105" t="s">
        <v>985</v>
      </c>
      <c r="I119" s="105" t="str">
        <f>IFERROR(__xludf.DUMMYFUNCTION("GOOGLETRANSLATE(H119,""he"",""en"")"),"Crunch")</f>
        <v>Crunch</v>
      </c>
      <c r="J119" s="105" t="s">
        <v>994</v>
      </c>
      <c r="K119" s="105" t="str">
        <f>IFERROR(__xludf.DUMMYFUNCTION("GOOGLETRANSLATE(J119,""he"",""en"")"),"Krantz""i single maple brown sugar 42 grams")</f>
        <v>Krantz"i single maple brown sugar 42 grams</v>
      </c>
      <c r="L119" s="104" t="s">
        <v>998</v>
      </c>
      <c r="M119" s="105" t="s">
        <v>6321</v>
      </c>
      <c r="N119" s="108" t="s">
        <v>6322</v>
      </c>
      <c r="O119" s="109"/>
      <c r="P119" s="109"/>
      <c r="Q119" s="115" t="s">
        <v>997</v>
      </c>
      <c r="R119" s="116"/>
      <c r="S119" s="117"/>
      <c r="T119" s="118"/>
      <c r="U119" s="117"/>
      <c r="V119" s="102"/>
      <c r="W119" s="102"/>
      <c r="X119" s="102"/>
      <c r="Y119" s="102"/>
      <c r="Z119" s="102"/>
      <c r="AA119" s="102"/>
      <c r="AB119" s="102"/>
      <c r="AC119" s="113"/>
      <c r="AD119" s="113"/>
      <c r="AE119" s="113"/>
    </row>
    <row r="120">
      <c r="A120" s="114">
        <v>1.6000548497E10</v>
      </c>
      <c r="B120" s="104" t="str">
        <f t="shared" si="1"/>
        <v>Crunch_Krantz"i oatmeal and honey isolated 42 g</v>
      </c>
      <c r="C120" s="105">
        <v>0.13</v>
      </c>
      <c r="D120" s="105">
        <v>0.045</v>
      </c>
      <c r="E120" s="105">
        <v>0.02</v>
      </c>
      <c r="F120" s="106">
        <f>ROUND('Meta data'!$B$1/E120,0)</f>
        <v>15</v>
      </c>
      <c r="G120" s="107"/>
      <c r="H120" s="105" t="s">
        <v>985</v>
      </c>
      <c r="I120" s="105" t="str">
        <f>IFERROR(__xludf.DUMMYFUNCTION("GOOGLETRANSLATE(H120,""he"",""en"")"),"Crunch")</f>
        <v>Crunch</v>
      </c>
      <c r="J120" s="105" t="s">
        <v>987</v>
      </c>
      <c r="K120" s="105" t="str">
        <f>IFERROR(__xludf.DUMMYFUNCTION("GOOGLETRANSLATE(J120,""he"",""en"")"),"Krantz""i oatmeal and honey isolated 42 g")</f>
        <v>Krantz"i oatmeal and honey isolated 42 g</v>
      </c>
      <c r="L120" s="104" t="s">
        <v>991</v>
      </c>
      <c r="M120" s="105" t="s">
        <v>6321</v>
      </c>
      <c r="N120" s="108" t="s">
        <v>6322</v>
      </c>
      <c r="O120" s="109"/>
      <c r="P120" s="109"/>
      <c r="Q120" s="115" t="s">
        <v>990</v>
      </c>
      <c r="R120" s="116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13"/>
      <c r="AD120" s="113"/>
      <c r="AE120" s="113"/>
    </row>
    <row r="121">
      <c r="A121" s="114">
        <v>1.6000507777E10</v>
      </c>
      <c r="B121" s="104" t="str">
        <f t="shared" si="1"/>
        <v>Crunch_Oat Crunch Dark Chocolate 42 g</v>
      </c>
      <c r="C121" s="105">
        <v>0.13</v>
      </c>
      <c r="D121" s="105">
        <v>0.045</v>
      </c>
      <c r="E121" s="105">
        <v>0.02</v>
      </c>
      <c r="F121" s="106">
        <f>ROUND('Meta data'!$B$1/E121,0)</f>
        <v>15</v>
      </c>
      <c r="G121" s="107"/>
      <c r="H121" s="105" t="s">
        <v>985</v>
      </c>
      <c r="I121" s="105" t="str">
        <f>IFERROR(__xludf.DUMMYFUNCTION("GOOGLETRANSLATE(H121,""he"",""en"")"),"Crunch")</f>
        <v>Crunch</v>
      </c>
      <c r="J121" s="105" t="s">
        <v>1000</v>
      </c>
      <c r="K121" s="105" t="str">
        <f>IFERROR(__xludf.DUMMYFUNCTION("GOOGLETRANSLATE(J121,""he"",""en"")"),"Oat Crunch Dark Chocolate 42 g")</f>
        <v>Oat Crunch Dark Chocolate 42 g</v>
      </c>
      <c r="L121" s="104" t="s">
        <v>1004</v>
      </c>
      <c r="M121" s="105" t="s">
        <v>6321</v>
      </c>
      <c r="N121" s="108" t="s">
        <v>6322</v>
      </c>
      <c r="O121" s="109"/>
      <c r="P121" s="109"/>
      <c r="Q121" s="115" t="s">
        <v>1003</v>
      </c>
      <c r="R121" s="116"/>
      <c r="S121" s="117"/>
      <c r="T121" s="118"/>
      <c r="U121" s="117"/>
      <c r="V121" s="102"/>
      <c r="W121" s="102"/>
      <c r="X121" s="102"/>
      <c r="Y121" s="102"/>
      <c r="Z121" s="102"/>
      <c r="AA121" s="102"/>
      <c r="AB121" s="102"/>
      <c r="AC121" s="113"/>
      <c r="AD121" s="113"/>
      <c r="AE121" s="113"/>
    </row>
    <row r="122">
      <c r="A122" s="114">
        <v>5838002.0</v>
      </c>
      <c r="B122" s="104" t="str">
        <f t="shared" si="1"/>
        <v>Daniella_Daniela delicacy cheese and vanilla 150 ml</v>
      </c>
      <c r="C122" s="105">
        <v>0.075</v>
      </c>
      <c r="D122" s="105">
        <v>0.061</v>
      </c>
      <c r="E122" s="105">
        <v>0.125</v>
      </c>
      <c r="F122" s="106">
        <f>ROUND('Meta data'!$B$1/E122,0)</f>
        <v>2</v>
      </c>
      <c r="G122" s="107"/>
      <c r="H122" s="105" t="s">
        <v>1006</v>
      </c>
      <c r="I122" s="105" t="str">
        <f>IFERROR(__xludf.DUMMYFUNCTION("GOOGLETRANSLATE(H122,""he"",""en"")"),"Daniella")</f>
        <v>Daniella</v>
      </c>
      <c r="J122" s="105" t="s">
        <v>1008</v>
      </c>
      <c r="K122" s="105" t="str">
        <f>IFERROR(__xludf.DUMMYFUNCTION("GOOGLETRANSLATE(J122,""he"",""en"")"),"Daniela delicacy cheese and vanilla 150 ml")</f>
        <v>Daniela delicacy cheese and vanilla 150 ml</v>
      </c>
      <c r="L122" s="104" t="s">
        <v>1014</v>
      </c>
      <c r="M122" s="105" t="s">
        <v>6372</v>
      </c>
      <c r="N122" s="108" t="s">
        <v>6373</v>
      </c>
      <c r="O122" s="109"/>
      <c r="P122" s="109"/>
      <c r="Q122" s="111" t="s">
        <v>1013</v>
      </c>
      <c r="R122" s="111"/>
      <c r="S122" s="118"/>
      <c r="T122" s="112"/>
      <c r="U122" s="102"/>
      <c r="V122" s="102"/>
      <c r="W122" s="102"/>
      <c r="X122" s="102"/>
      <c r="Y122" s="102"/>
      <c r="Z122" s="102"/>
      <c r="AA122" s="102"/>
      <c r="AB122" s="102"/>
      <c r="AC122" s="113"/>
      <c r="AD122" s="113"/>
      <c r="AE122" s="113"/>
    </row>
    <row r="123">
      <c r="A123" s="114">
        <v>7.290112330352E12</v>
      </c>
      <c r="B123" s="104" t="str">
        <f t="shared" si="1"/>
        <v>Danone_Danone pro 20g vanilla 0% fat</v>
      </c>
      <c r="C123" s="105">
        <v>0.073</v>
      </c>
      <c r="D123" s="105">
        <v>0.072</v>
      </c>
      <c r="E123" s="105">
        <v>0.075</v>
      </c>
      <c r="F123" s="106">
        <f>ROUND('Meta data'!$B$1/E123,0)</f>
        <v>4</v>
      </c>
      <c r="G123" s="107"/>
      <c r="H123" s="105" t="s">
        <v>1016</v>
      </c>
      <c r="I123" s="105" t="str">
        <f>IFERROR(__xludf.DUMMYFUNCTION("GOOGLETRANSLATE(H123,""he"",""en"")"),"Danone")</f>
        <v>Danone</v>
      </c>
      <c r="J123" s="105" t="s">
        <v>1055</v>
      </c>
      <c r="K123" s="105" t="str">
        <f>IFERROR(__xludf.DUMMYFUNCTION("GOOGLETRANSLATE(J123,""he"",""en"")"),"Danone pro 20g vanilla 0% fat")</f>
        <v>Danone pro 20g vanilla 0% fat</v>
      </c>
      <c r="L123" s="104" t="s">
        <v>1060</v>
      </c>
      <c r="M123" s="105" t="s">
        <v>6374</v>
      </c>
      <c r="N123" s="108" t="s">
        <v>6375</v>
      </c>
      <c r="O123" s="109"/>
      <c r="P123" s="109"/>
      <c r="Q123" s="115" t="s">
        <v>1059</v>
      </c>
      <c r="R123" s="101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13"/>
      <c r="AD123" s="113"/>
      <c r="AE123" s="113"/>
    </row>
    <row r="124">
      <c r="A124" s="114">
        <v>408354.0</v>
      </c>
      <c r="B124" s="104" t="str">
        <f t="shared" si="1"/>
        <v>Danone_Danone Bar crackling</v>
      </c>
      <c r="C124" s="105">
        <v>0.13</v>
      </c>
      <c r="D124" s="105">
        <v>0.075</v>
      </c>
      <c r="E124" s="105">
        <v>0.045</v>
      </c>
      <c r="F124" s="106">
        <f>ROUND('Meta data'!$B$1/E124,0)</f>
        <v>7</v>
      </c>
      <c r="G124" s="107"/>
      <c r="H124" s="105" t="s">
        <v>1016</v>
      </c>
      <c r="I124" s="105" t="str">
        <f>IFERROR(__xludf.DUMMYFUNCTION("GOOGLETRANSLATE(H124,""he"",""en"")"),"Danone")</f>
        <v>Danone</v>
      </c>
      <c r="J124" s="105" t="s">
        <v>1027</v>
      </c>
      <c r="K124" s="105" t="str">
        <f>IFERROR(__xludf.DUMMYFUNCTION("GOOGLETRANSLATE(J124,""he"",""en"")"),"Danone Bar crackling")</f>
        <v>Danone Bar crackling</v>
      </c>
      <c r="L124" s="104" t="s">
        <v>1031</v>
      </c>
      <c r="M124" s="105" t="s">
        <v>6374</v>
      </c>
      <c r="N124" s="108" t="s">
        <v>6376</v>
      </c>
      <c r="O124" s="109"/>
      <c r="P124" s="109"/>
      <c r="Q124" s="115" t="s">
        <v>1030</v>
      </c>
      <c r="R124" s="116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13"/>
      <c r="AD124" s="113"/>
      <c r="AE124" s="113"/>
    </row>
    <row r="125">
      <c r="A125" s="114">
        <v>3321155.0</v>
      </c>
      <c r="B125" s="104" t="str">
        <f t="shared" si="1"/>
        <v>Danone_Danone Pecan Bar</v>
      </c>
      <c r="C125" s="105">
        <v>0.13</v>
      </c>
      <c r="D125" s="105">
        <v>0.075</v>
      </c>
      <c r="E125" s="105">
        <v>0.045</v>
      </c>
      <c r="F125" s="106">
        <f>ROUND('Meta data'!$B$1/E125,0)</f>
        <v>7</v>
      </c>
      <c r="G125" s="107"/>
      <c r="H125" s="105" t="s">
        <v>1016</v>
      </c>
      <c r="I125" s="105" t="str">
        <f>IFERROR(__xludf.DUMMYFUNCTION("GOOGLETRANSLATE(H125,""he"",""en"")"),"Danone")</f>
        <v>Danone</v>
      </c>
      <c r="J125" s="105" t="s">
        <v>1049</v>
      </c>
      <c r="K125" s="105" t="str">
        <f>IFERROR(__xludf.DUMMYFUNCTION("GOOGLETRANSLATE(J125,""he"",""en"")"),"Danone Pecan Bar")</f>
        <v>Danone Pecan Bar</v>
      </c>
      <c r="L125" s="104" t="s">
        <v>1053</v>
      </c>
      <c r="M125" s="105" t="s">
        <v>6374</v>
      </c>
      <c r="N125" s="108" t="s">
        <v>6376</v>
      </c>
      <c r="O125" s="109"/>
      <c r="P125" s="109"/>
      <c r="Q125" s="115" t="s">
        <v>1052</v>
      </c>
      <c r="R125" s="116"/>
      <c r="S125" s="117"/>
      <c r="T125" s="117"/>
      <c r="U125" s="117"/>
      <c r="V125" s="102"/>
      <c r="W125" s="102"/>
      <c r="X125" s="102"/>
      <c r="Y125" s="102"/>
      <c r="Z125" s="102"/>
      <c r="AA125" s="102"/>
      <c r="AB125" s="102"/>
      <c r="AC125" s="113"/>
      <c r="AD125" s="113"/>
      <c r="AE125" s="113"/>
    </row>
    <row r="126">
      <c r="A126" s="114">
        <v>7.290110566975E12</v>
      </c>
      <c r="B126" s="104" t="str">
        <f t="shared" si="1"/>
        <v>Danone_20 g pro Danone Strawberry 200g</v>
      </c>
      <c r="C126" s="105">
        <v>0.073</v>
      </c>
      <c r="D126" s="105">
        <v>0.07</v>
      </c>
      <c r="E126" s="105">
        <v>0.095</v>
      </c>
      <c r="F126" s="106">
        <f>ROUND('Meta data'!$B$1/E126,0)</f>
        <v>3</v>
      </c>
      <c r="G126" s="107"/>
      <c r="H126" s="105" t="s">
        <v>1016</v>
      </c>
      <c r="I126" s="105" t="str">
        <f>IFERROR(__xludf.DUMMYFUNCTION("GOOGLETRANSLATE(H126,""he"",""en"")"),"Danone")</f>
        <v>Danone</v>
      </c>
      <c r="J126" s="105" t="s">
        <v>1018</v>
      </c>
      <c r="K126" s="105" t="str">
        <f>IFERROR(__xludf.DUMMYFUNCTION("GOOGLETRANSLATE(J126,""he"",""en"")"),"20 g pro Danone Strawberry 200g")</f>
        <v>20 g pro Danone Strawberry 200g</v>
      </c>
      <c r="L126" s="104" t="s">
        <v>1024</v>
      </c>
      <c r="M126" s="105" t="s">
        <v>6374</v>
      </c>
      <c r="N126" s="108" t="s">
        <v>6376</v>
      </c>
      <c r="O126" s="109"/>
      <c r="P126" s="109"/>
      <c r="Q126" s="115" t="s">
        <v>1023</v>
      </c>
      <c r="R126" s="116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13"/>
      <c r="AD126" s="113"/>
      <c r="AE126" s="113"/>
    </row>
    <row r="127">
      <c r="A127" s="114">
        <v>408316.0</v>
      </c>
      <c r="B127" s="104" t="str">
        <f t="shared" si="1"/>
        <v>Danone_Danone Bio White 3%</v>
      </c>
      <c r="C127" s="105">
        <v>0.073</v>
      </c>
      <c r="D127" s="105">
        <v>0.09</v>
      </c>
      <c r="E127" s="105">
        <v>0.065</v>
      </c>
      <c r="F127" s="106">
        <f>ROUND('Meta data'!$B$1/E127,0)</f>
        <v>5</v>
      </c>
      <c r="G127" s="107"/>
      <c r="H127" s="105" t="s">
        <v>1016</v>
      </c>
      <c r="I127" s="105" t="str">
        <f>IFERROR(__xludf.DUMMYFUNCTION("GOOGLETRANSLATE(H127,""he"",""en"")"),"Danone")</f>
        <v>Danone</v>
      </c>
      <c r="J127" s="105" t="s">
        <v>1033</v>
      </c>
      <c r="K127" s="105" t="str">
        <f>IFERROR(__xludf.DUMMYFUNCTION("GOOGLETRANSLATE(J127,""he"",""en"")"),"Danone Bio White 3%")</f>
        <v>Danone Bio White 3%</v>
      </c>
      <c r="L127" s="104" t="s">
        <v>1038</v>
      </c>
      <c r="M127" s="105" t="s">
        <v>6374</v>
      </c>
      <c r="N127" s="108" t="s">
        <v>6377</v>
      </c>
      <c r="O127" s="109"/>
      <c r="P127" s="109"/>
      <c r="Q127" s="115" t="s">
        <v>1037</v>
      </c>
      <c r="R127" s="116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13"/>
      <c r="AD127" s="113"/>
      <c r="AE127" s="113"/>
    </row>
    <row r="128">
      <c r="A128" s="114">
        <v>4584528.0</v>
      </c>
      <c r="B128" s="104" t="str">
        <f t="shared" si="1"/>
        <v>Danone_White Danone 1.7% 200 g</v>
      </c>
      <c r="C128" s="105">
        <v>0.073</v>
      </c>
      <c r="D128" s="105">
        <v>0.09</v>
      </c>
      <c r="E128" s="105">
        <v>0.075</v>
      </c>
      <c r="F128" s="106">
        <f>ROUND('Meta data'!$B$1/E128,0)</f>
        <v>4</v>
      </c>
      <c r="G128" s="107"/>
      <c r="H128" s="105" t="s">
        <v>1016</v>
      </c>
      <c r="I128" s="105" t="str">
        <f>IFERROR(__xludf.DUMMYFUNCTION("GOOGLETRANSLATE(H128,""he"",""en"")"),"Danone")</f>
        <v>Danone</v>
      </c>
      <c r="J128" s="105" t="s">
        <v>1083</v>
      </c>
      <c r="K128" s="105" t="str">
        <f>IFERROR(__xludf.DUMMYFUNCTION("GOOGLETRANSLATE(J128,""he"",""en"")"),"White Danone 1.7% 200 g")</f>
        <v>White Danone 1.7% 200 g</v>
      </c>
      <c r="L128" s="104" t="s">
        <v>1087</v>
      </c>
      <c r="M128" s="105" t="s">
        <v>6374</v>
      </c>
      <c r="N128" s="108" t="s">
        <v>6377</v>
      </c>
      <c r="O128" s="109"/>
      <c r="P128" s="109"/>
      <c r="Q128" s="115" t="s">
        <v>1086</v>
      </c>
      <c r="R128" s="116"/>
      <c r="S128" s="117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13"/>
      <c r="AD128" s="113"/>
      <c r="AE128" s="113"/>
    </row>
    <row r="129">
      <c r="A129" s="114">
        <v>7.290110565527E12</v>
      </c>
      <c r="B129" s="104" t="str">
        <f t="shared" si="1"/>
        <v>Danone_Peru Danone yogurt 20 grams of protein and 200 grams</v>
      </c>
      <c r="C129" s="105">
        <v>0.073</v>
      </c>
      <c r="D129" s="105">
        <v>0.07</v>
      </c>
      <c r="E129" s="105">
        <v>0.075</v>
      </c>
      <c r="F129" s="106">
        <f>ROUND('Meta data'!$B$1/E129,0)</f>
        <v>4</v>
      </c>
      <c r="G129" s="107"/>
      <c r="H129" s="105" t="s">
        <v>1016</v>
      </c>
      <c r="I129" s="105" t="str">
        <f>IFERROR(__xludf.DUMMYFUNCTION("GOOGLETRANSLATE(H129,""he"",""en"")"),"Danone")</f>
        <v>Danone</v>
      </c>
      <c r="J129" s="105" t="s">
        <v>1069</v>
      </c>
      <c r="K129" s="105" t="str">
        <f>IFERROR(__xludf.DUMMYFUNCTION("GOOGLETRANSLATE(J129,""he"",""en"")"),"Peru Danone yogurt 20 grams of protein and 200 grams")</f>
        <v>Peru Danone yogurt 20 grams of protein and 200 grams</v>
      </c>
      <c r="L129" s="104" t="s">
        <v>1073</v>
      </c>
      <c r="M129" s="105" t="s">
        <v>6374</v>
      </c>
      <c r="N129" s="108" t="s">
        <v>6377</v>
      </c>
      <c r="O129" s="109"/>
      <c r="P129" s="109"/>
      <c r="Q129" s="115" t="s">
        <v>1072</v>
      </c>
      <c r="R129" s="116"/>
      <c r="S129" s="117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13"/>
      <c r="AD129" s="113"/>
      <c r="AE129" s="113"/>
    </row>
    <row r="130">
      <c r="A130" s="114">
        <v>7.290110568276E12</v>
      </c>
      <c r="B130" s="104" t="str">
        <f t="shared" si="1"/>
        <v>Danone_Peru Yotvata drink Vanilla 350 ml</v>
      </c>
      <c r="C130" s="105">
        <v>0.062</v>
      </c>
      <c r="D130" s="105">
        <v>0.173</v>
      </c>
      <c r="E130" s="105">
        <v>0.062</v>
      </c>
      <c r="F130" s="106">
        <f>ROUND('Meta data'!$B$1/E130,0)</f>
        <v>5</v>
      </c>
      <c r="G130" s="107"/>
      <c r="H130" s="105" t="s">
        <v>1016</v>
      </c>
      <c r="I130" s="105" t="str">
        <f>IFERROR(__xludf.DUMMYFUNCTION("GOOGLETRANSLATE(H130,""he"",""en"")"),"Danone")</f>
        <v>Danone</v>
      </c>
      <c r="J130" s="105" t="s">
        <v>1075</v>
      </c>
      <c r="K130" s="105" t="str">
        <f>IFERROR(__xludf.DUMMYFUNCTION("GOOGLETRANSLATE(J130,""he"",""en"")"),"Peru Yotvata drink Vanilla 350 ml")</f>
        <v>Peru Yotvata drink Vanilla 350 ml</v>
      </c>
      <c r="L130" s="104" t="s">
        <v>1080</v>
      </c>
      <c r="M130" s="105" t="s">
        <v>6378</v>
      </c>
      <c r="N130" s="108" t="s">
        <v>6379</v>
      </c>
      <c r="O130" s="109"/>
      <c r="P130" s="109"/>
      <c r="Q130" s="111" t="s">
        <v>1079</v>
      </c>
      <c r="R130" s="115"/>
      <c r="S130" s="11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13"/>
      <c r="AD130" s="113"/>
      <c r="AE130" s="113"/>
    </row>
    <row r="131">
      <c r="A131" s="114">
        <v>7.290105965738E12</v>
      </c>
      <c r="B131" s="104" t="str">
        <f t="shared" si="1"/>
        <v>Danone_Danone drinking strawberry banana 1.5%</v>
      </c>
      <c r="C131" s="105">
        <v>0.06</v>
      </c>
      <c r="D131" s="105">
        <v>0.155</v>
      </c>
      <c r="E131" s="105">
        <v>0.06</v>
      </c>
      <c r="F131" s="106">
        <f>ROUND('Meta data'!$B$1/E131,0)</f>
        <v>5</v>
      </c>
      <c r="G131" s="107"/>
      <c r="H131" s="105" t="s">
        <v>1016</v>
      </c>
      <c r="I131" s="105" t="str">
        <f>IFERROR(__xludf.DUMMYFUNCTION("GOOGLETRANSLATE(H131,""he"",""en"")"),"Danone")</f>
        <v>Danone</v>
      </c>
      <c r="J131" s="105" t="s">
        <v>1041</v>
      </c>
      <c r="K131" s="105" t="str">
        <f>IFERROR(__xludf.DUMMYFUNCTION("GOOGLETRANSLATE(J131,""he"",""en"")"),"Danone drinking strawberry banana 1.5%")</f>
        <v>Danone drinking strawberry banana 1.5%</v>
      </c>
      <c r="L131" s="104" t="s">
        <v>1046</v>
      </c>
      <c r="M131" s="105" t="s">
        <v>6374</v>
      </c>
      <c r="N131" s="108" t="s">
        <v>6380</v>
      </c>
      <c r="O131" s="109"/>
      <c r="P131" s="109"/>
      <c r="Q131" s="115" t="s">
        <v>1045</v>
      </c>
      <c r="R131" s="116"/>
      <c r="S131" s="117"/>
      <c r="T131" s="117"/>
      <c r="U131" s="117"/>
      <c r="V131" s="102"/>
      <c r="W131" s="102"/>
      <c r="X131" s="102"/>
      <c r="Y131" s="102"/>
      <c r="Z131" s="102"/>
      <c r="AA131" s="102"/>
      <c r="AB131" s="102"/>
      <c r="AC131" s="113"/>
      <c r="AD131" s="113"/>
      <c r="AE131" s="113"/>
    </row>
    <row r="132">
      <c r="A132" s="114">
        <v>7.290112346698E12</v>
      </c>
      <c r="B132" s="104" t="str">
        <f t="shared" si="1"/>
        <v>Danone_Danone yogurt drink flavored mango and peach</v>
      </c>
      <c r="C132" s="105">
        <v>0.073</v>
      </c>
      <c r="D132" s="105">
        <v>0.155</v>
      </c>
      <c r="E132" s="105">
        <v>0.075</v>
      </c>
      <c r="F132" s="106">
        <f>ROUND('Meta data'!$B$1/E132,0)</f>
        <v>4</v>
      </c>
      <c r="G132" s="107"/>
      <c r="H132" s="105" t="s">
        <v>1016</v>
      </c>
      <c r="I132" s="105" t="str">
        <f>IFERROR(__xludf.DUMMYFUNCTION("GOOGLETRANSLATE(H132,""he"",""en"")"),"Danone")</f>
        <v>Danone</v>
      </c>
      <c r="J132" s="105" t="s">
        <v>1062</v>
      </c>
      <c r="K132" s="105" t="str">
        <f>IFERROR(__xludf.DUMMYFUNCTION("GOOGLETRANSLATE(J132,""he"",""en"")"),"Danone yogurt drink flavored mango and peach")</f>
        <v>Danone yogurt drink flavored mango and peach</v>
      </c>
      <c r="L132" s="104" t="s">
        <v>1066</v>
      </c>
      <c r="M132" s="105" t="s">
        <v>6374</v>
      </c>
      <c r="N132" s="108" t="s">
        <v>6380</v>
      </c>
      <c r="O132" s="109"/>
      <c r="P132" s="109"/>
      <c r="Q132" s="115" t="s">
        <v>1065</v>
      </c>
      <c r="R132" s="116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13"/>
      <c r="AD132" s="113"/>
      <c r="AE132" s="113"/>
    </row>
    <row r="133">
      <c r="A133" s="114">
        <v>7.290000066264E12</v>
      </c>
      <c r="B133" s="104" t="str">
        <f t="shared" si="1"/>
        <v>Dobunim_Dobunim 40g</v>
      </c>
      <c r="C133" s="105">
        <v>0.145</v>
      </c>
      <c r="D133" s="105">
        <v>0.189</v>
      </c>
      <c r="E133" s="105">
        <v>0.055</v>
      </c>
      <c r="F133" s="106">
        <f>ROUND('Meta data'!$B$1/E133,0)</f>
        <v>5</v>
      </c>
      <c r="G133" s="107"/>
      <c r="H133" s="105" t="s">
        <v>1127</v>
      </c>
      <c r="I133" s="119" t="s">
        <v>6381</v>
      </c>
      <c r="J133" s="105" t="s">
        <v>1129</v>
      </c>
      <c r="K133" s="119" t="s">
        <v>6382</v>
      </c>
      <c r="L133" s="104" t="s">
        <v>1133</v>
      </c>
      <c r="M133" s="105" t="s">
        <v>6309</v>
      </c>
      <c r="N133" s="108" t="s">
        <v>6331</v>
      </c>
      <c r="O133" s="109"/>
      <c r="P133" s="109"/>
      <c r="Q133" s="115" t="s">
        <v>1132</v>
      </c>
      <c r="R133" s="116"/>
      <c r="S133" s="117"/>
      <c r="T133" s="118"/>
      <c r="U133" s="117"/>
      <c r="V133" s="102"/>
      <c r="W133" s="102"/>
      <c r="X133" s="102"/>
      <c r="Y133" s="102"/>
      <c r="Z133" s="102"/>
      <c r="AA133" s="102"/>
      <c r="AB133" s="102"/>
      <c r="AC133" s="113"/>
      <c r="AD133" s="113"/>
      <c r="AE133" s="113"/>
    </row>
    <row r="134">
      <c r="A134" s="114">
        <v>7.290006653857E12</v>
      </c>
      <c r="B134" s="104" t="str">
        <f t="shared" si="1"/>
        <v>Dobunim_Dobunim and rabbits 40g</v>
      </c>
      <c r="C134" s="105">
        <v>0.145</v>
      </c>
      <c r="D134" s="105">
        <v>0.189</v>
      </c>
      <c r="E134" s="105">
        <v>0.055</v>
      </c>
      <c r="F134" s="106">
        <f>ROUND('Meta data'!$B$1/E134,0)</f>
        <v>5</v>
      </c>
      <c r="G134" s="107"/>
      <c r="H134" s="105" t="s">
        <v>1127</v>
      </c>
      <c r="I134" s="119" t="s">
        <v>6381</v>
      </c>
      <c r="J134" s="105" t="s">
        <v>1135</v>
      </c>
      <c r="K134" s="119" t="s">
        <v>6383</v>
      </c>
      <c r="L134" s="104" t="s">
        <v>1139</v>
      </c>
      <c r="M134" s="105" t="s">
        <v>6309</v>
      </c>
      <c r="N134" s="108" t="s">
        <v>6331</v>
      </c>
      <c r="O134" s="109"/>
      <c r="P134" s="109"/>
      <c r="Q134" s="115" t="s">
        <v>1138</v>
      </c>
      <c r="R134" s="116"/>
      <c r="S134" s="117"/>
      <c r="T134" s="118"/>
      <c r="U134" s="117"/>
      <c r="V134" s="102"/>
      <c r="W134" s="102"/>
      <c r="X134" s="102"/>
      <c r="Y134" s="102"/>
      <c r="Z134" s="102"/>
      <c r="AA134" s="102"/>
      <c r="AB134" s="102"/>
      <c r="AC134" s="113"/>
      <c r="AD134" s="113"/>
      <c r="AE134" s="113"/>
    </row>
    <row r="135">
      <c r="A135" s="114">
        <v>7.290106528628E12</v>
      </c>
      <c r="B135" s="104" t="str">
        <f t="shared" si="1"/>
        <v>Doritos_Naturally flavored Doritos 185 grams</v>
      </c>
      <c r="C135" s="105">
        <v>0.1675</v>
      </c>
      <c r="D135" s="105">
        <v>0.31</v>
      </c>
      <c r="E135" s="105">
        <v>0.07</v>
      </c>
      <c r="F135" s="106">
        <f>ROUND('Meta data'!$B$1/E135,0)</f>
        <v>4</v>
      </c>
      <c r="G135" s="107"/>
      <c r="H135" s="105" t="s">
        <v>1089</v>
      </c>
      <c r="I135" s="105" t="str">
        <f>IFERROR(__xludf.DUMMYFUNCTION("GOOGLETRANSLATE(H135,""he"",""en"")"),"Doritos")</f>
        <v>Doritos</v>
      </c>
      <c r="J135" s="105" t="s">
        <v>1117</v>
      </c>
      <c r="K135" s="105" t="str">
        <f>IFERROR(__xludf.DUMMYFUNCTION("GOOGLETRANSLATE(J135,""he"",""en"")"),"Naturally flavored Doritos 185 grams")</f>
        <v>Naturally flavored Doritos 185 grams</v>
      </c>
      <c r="L135" s="104" t="s">
        <v>1119</v>
      </c>
      <c r="M135" s="105" t="s">
        <v>6309</v>
      </c>
      <c r="N135" s="108" t="s">
        <v>6384</v>
      </c>
      <c r="O135" s="109"/>
      <c r="P135" s="109"/>
      <c r="Q135" s="115" t="s">
        <v>1120</v>
      </c>
      <c r="R135" s="116"/>
      <c r="S135" s="117"/>
      <c r="T135" s="117"/>
      <c r="U135" s="102"/>
      <c r="V135" s="102"/>
      <c r="W135" s="102"/>
      <c r="X135" s="102"/>
      <c r="Y135" s="102"/>
      <c r="Z135" s="102"/>
      <c r="AA135" s="102"/>
      <c r="AB135" s="102"/>
      <c r="AC135" s="113"/>
      <c r="AD135" s="113"/>
      <c r="AE135" s="113"/>
    </row>
    <row r="136">
      <c r="A136" s="114">
        <v>7.29010085093E12</v>
      </c>
      <c r="B136" s="104" t="str">
        <f t="shared" si="1"/>
        <v>Doritos_Naturally flavored Doritos 70 grams</v>
      </c>
      <c r="C136" s="105">
        <v>0.133</v>
      </c>
      <c r="D136" s="105">
        <v>0.21</v>
      </c>
      <c r="E136" s="105">
        <v>0.05</v>
      </c>
      <c r="F136" s="106">
        <f>ROUND('Meta data'!$B$1/E136,0)</f>
        <v>6</v>
      </c>
      <c r="G136" s="107"/>
      <c r="H136" s="105" t="s">
        <v>1089</v>
      </c>
      <c r="I136" s="105" t="str">
        <f>IFERROR(__xludf.DUMMYFUNCTION("GOOGLETRANSLATE(H136,""he"",""en"")"),"Doritos")</f>
        <v>Doritos</v>
      </c>
      <c r="J136" s="105" t="s">
        <v>1122</v>
      </c>
      <c r="K136" s="105" t="str">
        <f>IFERROR(__xludf.DUMMYFUNCTION("GOOGLETRANSLATE(J136,""he"",""en"")"),"Naturally flavored Doritos 70 grams")</f>
        <v>Naturally flavored Doritos 70 grams</v>
      </c>
      <c r="L136" s="104" t="s">
        <v>1124</v>
      </c>
      <c r="M136" s="105" t="s">
        <v>6309</v>
      </c>
      <c r="N136" s="108" t="s">
        <v>6384</v>
      </c>
      <c r="O136" s="109"/>
      <c r="P136" s="109"/>
      <c r="Q136" s="111" t="s">
        <v>1125</v>
      </c>
      <c r="R136" s="116"/>
      <c r="S136" s="117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13"/>
      <c r="AD136" s="113"/>
      <c r="AE136" s="113"/>
    </row>
    <row r="137">
      <c r="A137" s="114">
        <v>7.290106528567E12</v>
      </c>
      <c r="B137" s="104" t="str">
        <f t="shared" si="1"/>
        <v>Doritos_Doritos grill 185 grams</v>
      </c>
      <c r="C137" s="105">
        <v>0.1675</v>
      </c>
      <c r="D137" s="105">
        <v>0.31</v>
      </c>
      <c r="E137" s="105">
        <v>0.07</v>
      </c>
      <c r="F137" s="106">
        <f>ROUND('Meta data'!$B$1/E137,0)</f>
        <v>4</v>
      </c>
      <c r="G137" s="107"/>
      <c r="H137" s="105" t="s">
        <v>1089</v>
      </c>
      <c r="I137" s="105" t="str">
        <f>IFERROR(__xludf.DUMMYFUNCTION("GOOGLETRANSLATE(H137,""he"",""en"")"),"Doritos")</f>
        <v>Doritos</v>
      </c>
      <c r="J137" s="105" t="s">
        <v>1091</v>
      </c>
      <c r="K137" s="105" t="str">
        <f>IFERROR(__xludf.DUMMYFUNCTION("GOOGLETRANSLATE(J137,""he"",""en"")"),"Doritos grill 185 grams")</f>
        <v>Doritos grill 185 grams</v>
      </c>
      <c r="L137" s="104" t="s">
        <v>1093</v>
      </c>
      <c r="M137" s="105" t="s">
        <v>6309</v>
      </c>
      <c r="N137" s="108" t="s">
        <v>6384</v>
      </c>
      <c r="O137" s="109"/>
      <c r="P137" s="109"/>
      <c r="Q137" s="111" t="s">
        <v>1095</v>
      </c>
      <c r="R137" s="116"/>
      <c r="S137" s="121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13"/>
      <c r="AD137" s="113"/>
      <c r="AE137" s="113"/>
    </row>
    <row r="138">
      <c r="A138" s="114">
        <v>7.290100850923E12</v>
      </c>
      <c r="B138" s="104" t="str">
        <f t="shared" si="1"/>
        <v>Doritos_Doritos Grill 70 grams</v>
      </c>
      <c r="C138" s="105">
        <v>0.133</v>
      </c>
      <c r="D138" s="105">
        <v>0.21</v>
      </c>
      <c r="E138" s="105">
        <v>0.05</v>
      </c>
      <c r="F138" s="106">
        <f>ROUND('Meta data'!$B$1/E138,0)</f>
        <v>6</v>
      </c>
      <c r="G138" s="107"/>
      <c r="H138" s="105" t="s">
        <v>1089</v>
      </c>
      <c r="I138" s="105" t="str">
        <f>IFERROR(__xludf.DUMMYFUNCTION("GOOGLETRANSLATE(H138,""he"",""en"")"),"Doritos")</f>
        <v>Doritos</v>
      </c>
      <c r="J138" s="105" t="s">
        <v>1097</v>
      </c>
      <c r="K138" s="105" t="str">
        <f>IFERROR(__xludf.DUMMYFUNCTION("GOOGLETRANSLATE(J138,""he"",""en"")"),"Doritos Grill 70 grams")</f>
        <v>Doritos Grill 70 grams</v>
      </c>
      <c r="L138" s="104" t="s">
        <v>1099</v>
      </c>
      <c r="M138" s="105" t="s">
        <v>6309</v>
      </c>
      <c r="N138" s="108" t="s">
        <v>6384</v>
      </c>
      <c r="O138" s="109"/>
      <c r="P138" s="109"/>
      <c r="Q138" s="115" t="s">
        <v>1100</v>
      </c>
      <c r="R138" s="116"/>
      <c r="S138" s="117"/>
      <c r="T138" s="117"/>
      <c r="U138" s="118"/>
      <c r="V138" s="102"/>
      <c r="W138" s="102"/>
      <c r="X138" s="102"/>
      <c r="Y138" s="102"/>
      <c r="Z138" s="102"/>
      <c r="AA138" s="102"/>
      <c r="AB138" s="102"/>
      <c r="AC138" s="113"/>
      <c r="AD138" s="113"/>
      <c r="AE138" s="113"/>
    </row>
    <row r="139">
      <c r="A139" s="114">
        <v>7.290106667266E12</v>
      </c>
      <c r="B139" s="104" t="str">
        <f t="shared" si="1"/>
        <v>Doritos_Doritos spicy and sour 185 g</v>
      </c>
      <c r="C139" s="105">
        <v>0.1675</v>
      </c>
      <c r="D139" s="105">
        <v>0.31</v>
      </c>
      <c r="E139" s="105">
        <v>0.07</v>
      </c>
      <c r="F139" s="106">
        <f>ROUND('Meta data'!$B$1/E139,0)</f>
        <v>4</v>
      </c>
      <c r="G139" s="107"/>
      <c r="H139" s="105" t="s">
        <v>1089</v>
      </c>
      <c r="I139" s="105" t="str">
        <f>IFERROR(__xludf.DUMMYFUNCTION("GOOGLETRANSLATE(H139,""he"",""en"")"),"Doritos")</f>
        <v>Doritos</v>
      </c>
      <c r="J139" s="105" t="s">
        <v>1107</v>
      </c>
      <c r="K139" s="105" t="str">
        <f>IFERROR(__xludf.DUMMYFUNCTION("GOOGLETRANSLATE(J139,""he"",""en"")"),"Doritos spicy and sour 185 g")</f>
        <v>Doritos spicy and sour 185 g</v>
      </c>
      <c r="L139" s="104" t="s">
        <v>1109</v>
      </c>
      <c r="M139" s="105" t="s">
        <v>6309</v>
      </c>
      <c r="N139" s="108" t="s">
        <v>6384</v>
      </c>
      <c r="O139" s="109"/>
      <c r="P139" s="109"/>
      <c r="Q139" s="115" t="s">
        <v>1110</v>
      </c>
      <c r="R139" s="111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13"/>
      <c r="AD139" s="113"/>
      <c r="AE139" s="113"/>
    </row>
    <row r="140">
      <c r="A140" s="114">
        <v>7.290100850916E12</v>
      </c>
      <c r="B140" s="104" t="str">
        <f t="shared" si="1"/>
        <v>Doritos_Doritos spicy sour 70 g</v>
      </c>
      <c r="C140" s="105">
        <v>0.133</v>
      </c>
      <c r="D140" s="105">
        <v>0.21</v>
      </c>
      <c r="E140" s="105">
        <v>0.05</v>
      </c>
      <c r="F140" s="106">
        <f>ROUND('Meta data'!$B$1/E140,0)</f>
        <v>6</v>
      </c>
      <c r="G140" s="107"/>
      <c r="H140" s="105" t="s">
        <v>1089</v>
      </c>
      <c r="I140" s="105" t="str">
        <f>IFERROR(__xludf.DUMMYFUNCTION("GOOGLETRANSLATE(H140,""he"",""en"")"),"Doritos")</f>
        <v>Doritos</v>
      </c>
      <c r="J140" s="105" t="s">
        <v>1112</v>
      </c>
      <c r="K140" s="105" t="str">
        <f>IFERROR(__xludf.DUMMYFUNCTION("GOOGLETRANSLATE(J140,""he"",""en"")"),"Doritos spicy sour 70 g")</f>
        <v>Doritos spicy sour 70 g</v>
      </c>
      <c r="L140" s="104" t="s">
        <v>1114</v>
      </c>
      <c r="M140" s="105" t="s">
        <v>6309</v>
      </c>
      <c r="N140" s="108" t="s">
        <v>6384</v>
      </c>
      <c r="O140" s="109"/>
      <c r="P140" s="109"/>
      <c r="Q140" s="115" t="s">
        <v>1115</v>
      </c>
      <c r="R140" s="116"/>
      <c r="S140" s="117"/>
      <c r="T140" s="118"/>
      <c r="U140" s="117"/>
      <c r="V140" s="102"/>
      <c r="W140" s="102"/>
      <c r="X140" s="102"/>
      <c r="Y140" s="102"/>
      <c r="Z140" s="102"/>
      <c r="AA140" s="102"/>
      <c r="AB140" s="102"/>
      <c r="AC140" s="113"/>
      <c r="AD140" s="113"/>
      <c r="AE140" s="113"/>
    </row>
    <row r="141">
      <c r="A141" s="114">
        <v>7.290010117864E12</v>
      </c>
      <c r="B141" s="104" t="str">
        <f t="shared" si="1"/>
        <v>Doritos_Doritos spicy 70 g fire</v>
      </c>
      <c r="C141" s="105">
        <v>0.133</v>
      </c>
      <c r="D141" s="105">
        <v>0.21</v>
      </c>
      <c r="E141" s="105">
        <v>0.05</v>
      </c>
      <c r="F141" s="106">
        <f>ROUND('Meta data'!$B$1/E141,0)</f>
        <v>6</v>
      </c>
      <c r="G141" s="107"/>
      <c r="H141" s="105" t="s">
        <v>1089</v>
      </c>
      <c r="I141" s="105" t="str">
        <f>IFERROR(__xludf.DUMMYFUNCTION("GOOGLETRANSLATE(H141,""he"",""en"")"),"Doritos")</f>
        <v>Doritos</v>
      </c>
      <c r="J141" s="105" t="s">
        <v>1102</v>
      </c>
      <c r="K141" s="105" t="str">
        <f>IFERROR(__xludf.DUMMYFUNCTION("GOOGLETRANSLATE(J141,""he"",""en"")"),"Doritos spicy 70 g fire")</f>
        <v>Doritos spicy 70 g fire</v>
      </c>
      <c r="L141" s="104" t="s">
        <v>1104</v>
      </c>
      <c r="M141" s="105" t="s">
        <v>6309</v>
      </c>
      <c r="N141" s="108" t="s">
        <v>6384</v>
      </c>
      <c r="O141" s="109"/>
      <c r="P141" s="109"/>
      <c r="Q141" s="115" t="s">
        <v>1105</v>
      </c>
      <c r="R141" s="116"/>
      <c r="S141" s="117"/>
      <c r="T141" s="117"/>
      <c r="U141" s="102"/>
      <c r="V141" s="102"/>
      <c r="W141" s="102"/>
      <c r="X141" s="102"/>
      <c r="Y141" s="102"/>
      <c r="Z141" s="102"/>
      <c r="AA141" s="102"/>
      <c r="AB141" s="102"/>
      <c r="AC141" s="113"/>
      <c r="AD141" s="113"/>
      <c r="AE141" s="113"/>
    </row>
    <row r="142">
      <c r="A142" s="114">
        <v>8.56591000062E11</v>
      </c>
      <c r="B142" s="104" t="str">
        <f t="shared" si="1"/>
        <v>Ebadi_Abadi cookies Oriental taste with salt 400g</v>
      </c>
      <c r="C142" s="105">
        <v>0.15</v>
      </c>
      <c r="D142" s="105">
        <v>0.27</v>
      </c>
      <c r="E142" s="105">
        <v>0.05</v>
      </c>
      <c r="F142" s="106">
        <f>ROUND('Meta data'!$B$1/E142,0)</f>
        <v>6</v>
      </c>
      <c r="G142" s="107"/>
      <c r="H142" s="105" t="s">
        <v>23</v>
      </c>
      <c r="I142" s="105" t="str">
        <f>IFERROR(__xludf.DUMMYFUNCTION("GOOGLETRANSLATE(H142,""he"",""en"")"),"Ebadi")</f>
        <v>Ebadi</v>
      </c>
      <c r="J142" s="105" t="s">
        <v>25</v>
      </c>
      <c r="K142" s="105" t="str">
        <f>IFERROR(__xludf.DUMMYFUNCTION("GOOGLETRANSLATE(J142,""he"",""en"")"),"Abadi cookies Oriental taste with salt 400g")</f>
        <v>Abadi cookies Oriental taste with salt 400g</v>
      </c>
      <c r="L142" s="104" t="s">
        <v>27</v>
      </c>
      <c r="M142" s="105" t="s">
        <v>6385</v>
      </c>
      <c r="N142" s="108" t="s">
        <v>6386</v>
      </c>
      <c r="O142" s="109"/>
      <c r="P142" s="109"/>
      <c r="Q142" s="111" t="s">
        <v>31</v>
      </c>
      <c r="R142" s="116"/>
      <c r="S142" s="118"/>
      <c r="T142" s="117"/>
      <c r="U142" s="102"/>
      <c r="V142" s="102"/>
      <c r="W142" s="102"/>
      <c r="X142" s="102"/>
      <c r="Y142" s="102"/>
      <c r="Z142" s="102"/>
      <c r="AA142" s="102"/>
      <c r="AB142" s="102"/>
      <c r="AC142" s="113"/>
      <c r="AD142" s="113"/>
      <c r="AE142" s="113"/>
    </row>
    <row r="143">
      <c r="A143" s="114">
        <v>8.56591000109E11</v>
      </c>
      <c r="B143" s="104" t="str">
        <f t="shared" si="1"/>
        <v>Ebadi_Ebadi ottomans extra crispy biscuits 400g</v>
      </c>
      <c r="C143" s="105">
        <v>0.15</v>
      </c>
      <c r="D143" s="105">
        <v>0.27</v>
      </c>
      <c r="E143" s="105">
        <v>0.05</v>
      </c>
      <c r="F143" s="106">
        <f>ROUND('Meta data'!$B$1/E143,0)</f>
        <v>6</v>
      </c>
      <c r="G143" s="107"/>
      <c r="H143" s="105" t="s">
        <v>23</v>
      </c>
      <c r="I143" s="105" t="str">
        <f>IFERROR(__xludf.DUMMYFUNCTION("GOOGLETRANSLATE(H143,""he"",""en"")"),"Ebadi")</f>
        <v>Ebadi</v>
      </c>
      <c r="J143" s="105" t="s">
        <v>41</v>
      </c>
      <c r="K143" s="105" t="str">
        <f>IFERROR(__xludf.DUMMYFUNCTION("GOOGLETRANSLATE(J143,""he"",""en"")"),"Ebadi ottomans extra crispy biscuits 400g")</f>
        <v>Ebadi ottomans extra crispy biscuits 400g</v>
      </c>
      <c r="L143" s="104" t="s">
        <v>43</v>
      </c>
      <c r="M143" s="105" t="s">
        <v>6385</v>
      </c>
      <c r="N143" s="108" t="s">
        <v>6386</v>
      </c>
      <c r="O143" s="109"/>
      <c r="P143" s="109"/>
      <c r="Q143" s="115" t="s">
        <v>44</v>
      </c>
      <c r="R143" s="116"/>
      <c r="S143" s="117"/>
      <c r="T143" s="117"/>
      <c r="U143" s="117"/>
      <c r="V143" s="118"/>
      <c r="W143" s="102"/>
      <c r="X143" s="102"/>
      <c r="Y143" s="102"/>
      <c r="Z143" s="102"/>
      <c r="AA143" s="102"/>
      <c r="AB143" s="102"/>
      <c r="AC143" s="113"/>
      <c r="AD143" s="113"/>
      <c r="AE143" s="113"/>
    </row>
    <row r="144">
      <c r="A144" s="114">
        <v>7.290002132011E12</v>
      </c>
      <c r="B144" s="104" t="str">
        <f t="shared" si="1"/>
        <v>Ebadi_Eastern Abadi cookies, 400g</v>
      </c>
      <c r="C144" s="105">
        <v>0.17</v>
      </c>
      <c r="D144" s="105">
        <v>0.27</v>
      </c>
      <c r="E144" s="105">
        <v>0.05</v>
      </c>
      <c r="F144" s="106">
        <f>ROUND('Meta data'!$B$1/E144,0)</f>
        <v>6</v>
      </c>
      <c r="G144" s="107"/>
      <c r="H144" s="105" t="s">
        <v>23</v>
      </c>
      <c r="I144" s="105" t="str">
        <f>IFERROR(__xludf.DUMMYFUNCTION("GOOGLETRANSLATE(H144,""he"",""en"")"),"Ebadi")</f>
        <v>Ebadi</v>
      </c>
      <c r="J144" s="105" t="s">
        <v>34</v>
      </c>
      <c r="K144" s="105" t="str">
        <f>IFERROR(__xludf.DUMMYFUNCTION("GOOGLETRANSLATE(J144,""he"",""en"")"),"Eastern Abadi cookies, 400g")</f>
        <v>Eastern Abadi cookies, 400g</v>
      </c>
      <c r="L144" s="104" t="s">
        <v>39</v>
      </c>
      <c r="M144" s="105" t="s">
        <v>6385</v>
      </c>
      <c r="N144" s="108" t="s">
        <v>6386</v>
      </c>
      <c r="O144" s="109"/>
      <c r="P144" s="109"/>
      <c r="Q144" s="115" t="s">
        <v>38</v>
      </c>
      <c r="R144" s="116"/>
      <c r="S144" s="117"/>
      <c r="T144" s="117"/>
      <c r="U144" s="117"/>
      <c r="V144" s="102"/>
      <c r="W144" s="102"/>
      <c r="X144" s="102"/>
      <c r="Y144" s="102"/>
      <c r="Z144" s="102"/>
      <c r="AA144" s="102"/>
      <c r="AB144" s="102"/>
      <c r="AC144" s="113"/>
      <c r="AD144" s="113"/>
      <c r="AE144" s="113"/>
    </row>
    <row r="145">
      <c r="A145" s="114">
        <v>5431128.0</v>
      </c>
      <c r="B145" s="104" t="str">
        <f t="shared" si="1"/>
        <v>Eden_Bavaria Eden 75g</v>
      </c>
      <c r="C145" s="105">
        <v>0.073</v>
      </c>
      <c r="D145" s="105">
        <v>0.072</v>
      </c>
      <c r="E145" s="105">
        <v>0.075</v>
      </c>
      <c r="F145" s="106">
        <f>ROUND('Meta data'!$B$1/E145,0)</f>
        <v>4</v>
      </c>
      <c r="G145" s="107"/>
      <c r="H145" s="105" t="s">
        <v>1141</v>
      </c>
      <c r="I145" s="105" t="str">
        <f>IFERROR(__xludf.DUMMYFUNCTION("GOOGLETRANSLATE(H145,""he"",""en"")"),"Eden")</f>
        <v>Eden</v>
      </c>
      <c r="J145" s="105" t="s">
        <v>1143</v>
      </c>
      <c r="K145" s="105" t="str">
        <f>IFERROR(__xludf.DUMMYFUNCTION("GOOGLETRANSLATE(J145,""he"",""en"")"),"Bavaria Eden 75g")</f>
        <v>Bavaria Eden 75g</v>
      </c>
      <c r="L145" s="104" t="s">
        <v>1148</v>
      </c>
      <c r="M145" s="105" t="s">
        <v>6372</v>
      </c>
      <c r="N145" s="108" t="s">
        <v>6387</v>
      </c>
      <c r="O145" s="109"/>
      <c r="P145" s="109"/>
      <c r="Q145" s="115" t="s">
        <v>1147</v>
      </c>
      <c r="R145" s="116"/>
      <c r="S145" s="117"/>
      <c r="T145" s="117"/>
      <c r="U145" s="117"/>
      <c r="V145" s="117"/>
      <c r="W145" s="102"/>
      <c r="X145" s="102"/>
      <c r="Y145" s="102"/>
      <c r="Z145" s="102"/>
      <c r="AA145" s="102"/>
      <c r="AB145" s="102"/>
      <c r="AC145" s="113"/>
      <c r="AD145" s="113"/>
      <c r="AE145" s="113"/>
    </row>
    <row r="146">
      <c r="A146" s="114">
        <v>5431999.0</v>
      </c>
      <c r="B146" s="104" t="str">
        <f t="shared" si="1"/>
        <v>Eden_Melby Eden 150g</v>
      </c>
      <c r="C146" s="105">
        <v>0.073</v>
      </c>
      <c r="D146" s="105">
        <v>0.072</v>
      </c>
      <c r="E146" s="105">
        <v>0.075</v>
      </c>
      <c r="F146" s="106">
        <f>ROUND('Meta data'!$B$1/E146,0)</f>
        <v>4</v>
      </c>
      <c r="G146" s="107"/>
      <c r="H146" s="105" t="s">
        <v>1141</v>
      </c>
      <c r="I146" s="105" t="str">
        <f>IFERROR(__xludf.DUMMYFUNCTION("GOOGLETRANSLATE(H146,""he"",""en"")"),"Eden")</f>
        <v>Eden</v>
      </c>
      <c r="J146" s="105" t="s">
        <v>1150</v>
      </c>
      <c r="K146" s="105" t="str">
        <f>IFERROR(__xludf.DUMMYFUNCTION("GOOGLETRANSLATE(J146,""he"",""en"")"),"Melby Eden 150g")</f>
        <v>Melby Eden 150g</v>
      </c>
      <c r="L146" s="104" t="s">
        <v>1154</v>
      </c>
      <c r="M146" s="105" t="s">
        <v>6372</v>
      </c>
      <c r="N146" s="108" t="s">
        <v>6387</v>
      </c>
      <c r="O146" s="109"/>
      <c r="P146" s="109"/>
      <c r="Q146" s="115" t="s">
        <v>1153</v>
      </c>
      <c r="R146" s="116"/>
      <c r="S146" s="117"/>
      <c r="T146" s="117"/>
      <c r="U146" s="117"/>
      <c r="V146" s="102"/>
      <c r="W146" s="102"/>
      <c r="X146" s="102"/>
      <c r="Y146" s="102"/>
      <c r="Z146" s="102"/>
      <c r="AA146" s="102"/>
      <c r="AB146" s="102"/>
      <c r="AC146" s="113"/>
      <c r="AD146" s="113"/>
      <c r="AE146" s="113"/>
    </row>
    <row r="147">
      <c r="A147" s="114">
        <v>7.290112334879E12</v>
      </c>
      <c r="B147" s="104" t="str">
        <f t="shared" si="1"/>
        <v>elite_Personal chocolate flavor abortions</v>
      </c>
      <c r="C147" s="105">
        <v>0.08</v>
      </c>
      <c r="D147" s="105">
        <v>0.112</v>
      </c>
      <c r="E147" s="105">
        <v>0.03</v>
      </c>
      <c r="F147" s="106">
        <f>ROUND('Meta data'!$B$1/E147,0)</f>
        <v>10</v>
      </c>
      <c r="G147" s="107"/>
      <c r="H147" s="105" t="s">
        <v>1164</v>
      </c>
      <c r="I147" s="105" t="str">
        <f>IFERROR(__xludf.DUMMYFUNCTION("GOOGLETRANSLATE(H147,""he"",""en"")"),"elite")</f>
        <v>elite</v>
      </c>
      <c r="J147" s="105" t="s">
        <v>192</v>
      </c>
      <c r="K147" s="105" t="str">
        <f>IFERROR(__xludf.DUMMYFUNCTION("GOOGLETRANSLATE(J147,""he"",""en"")"),"Personal chocolate flavor abortions")</f>
        <v>Personal chocolate flavor abortions</v>
      </c>
      <c r="L147" s="104" t="s">
        <v>197</v>
      </c>
      <c r="M147" s="105" t="s">
        <v>6388</v>
      </c>
      <c r="N147" s="108" t="s">
        <v>6389</v>
      </c>
      <c r="O147" s="109"/>
      <c r="P147" s="109"/>
      <c r="Q147" s="115" t="s">
        <v>196</v>
      </c>
      <c r="R147" s="116"/>
      <c r="S147" s="117"/>
      <c r="T147" s="118"/>
      <c r="U147" s="117"/>
      <c r="V147" s="102"/>
      <c r="W147" s="102"/>
      <c r="X147" s="102"/>
      <c r="Y147" s="102"/>
      <c r="Z147" s="102"/>
      <c r="AA147" s="102"/>
      <c r="AB147" s="102"/>
      <c r="AC147" s="113"/>
      <c r="AD147" s="113"/>
      <c r="AE147" s="113"/>
    </row>
    <row r="148">
      <c r="A148" s="114">
        <v>7.290107951111E12</v>
      </c>
      <c r="B148" s="104" t="str">
        <f t="shared" si="1"/>
        <v>elite_Lemon abortion - long wafers and lemon</v>
      </c>
      <c r="C148" s="105">
        <v>0.135</v>
      </c>
      <c r="D148" s="105">
        <v>0.2</v>
      </c>
      <c r="E148" s="105">
        <v>0.035</v>
      </c>
      <c r="F148" s="106">
        <f>ROUND('Meta data'!$B$1/E148,0)</f>
        <v>9</v>
      </c>
      <c r="G148" s="107"/>
      <c r="H148" s="105" t="s">
        <v>1164</v>
      </c>
      <c r="I148" s="105" t="str">
        <f>IFERROR(__xludf.DUMMYFUNCTION("GOOGLETRANSLATE(H148,""he"",""en"")"),"elite")</f>
        <v>elite</v>
      </c>
      <c r="J148" s="105" t="s">
        <v>223</v>
      </c>
      <c r="K148" s="105" t="str">
        <f>IFERROR(__xludf.DUMMYFUNCTION("GOOGLETRANSLATE(J148,""he"",""en"")"),"Lemon abortion - long wafers and lemon")</f>
        <v>Lemon abortion - long wafers and lemon</v>
      </c>
      <c r="L148" s="104" t="s">
        <v>228</v>
      </c>
      <c r="M148" s="105" t="s">
        <v>6388</v>
      </c>
      <c r="N148" s="108" t="s">
        <v>6390</v>
      </c>
      <c r="O148" s="109"/>
      <c r="P148" s="109"/>
      <c r="Q148" s="115" t="s">
        <v>227</v>
      </c>
      <c r="R148" s="116"/>
      <c r="S148" s="117"/>
      <c r="T148" s="117"/>
      <c r="U148" s="118"/>
      <c r="V148" s="117"/>
      <c r="W148" s="102"/>
      <c r="X148" s="102"/>
      <c r="Y148" s="102"/>
      <c r="Z148" s="102"/>
      <c r="AA148" s="102"/>
      <c r="AB148" s="102"/>
      <c r="AC148" s="113"/>
      <c r="AD148" s="113"/>
      <c r="AE148" s="113"/>
    </row>
    <row r="149">
      <c r="A149" s="114">
        <v>7.290107951104E12</v>
      </c>
      <c r="B149" s="104" t="str">
        <f t="shared" si="1"/>
        <v>elite_Abortion - long wafers and chocolate</v>
      </c>
      <c r="C149" s="105">
        <v>0.135</v>
      </c>
      <c r="D149" s="105">
        <v>0.2</v>
      </c>
      <c r="E149" s="105">
        <v>0.035</v>
      </c>
      <c r="F149" s="106">
        <f>ROUND('Meta data'!$B$1/E149,0)</f>
        <v>9</v>
      </c>
      <c r="G149" s="107"/>
      <c r="H149" s="105" t="s">
        <v>1164</v>
      </c>
      <c r="I149" s="105" t="str">
        <f>IFERROR(__xludf.DUMMYFUNCTION("GOOGLETRANSLATE(H149,""he"",""en"")"),"elite")</f>
        <v>elite</v>
      </c>
      <c r="J149" s="105" t="s">
        <v>200</v>
      </c>
      <c r="K149" s="105" t="str">
        <f>IFERROR(__xludf.DUMMYFUNCTION("GOOGLETRANSLATE(J149,""he"",""en"")"),"Abortion - long wafers and chocolate")</f>
        <v>Abortion - long wafers and chocolate</v>
      </c>
      <c r="L149" s="104" t="s">
        <v>204</v>
      </c>
      <c r="M149" s="105" t="s">
        <v>6388</v>
      </c>
      <c r="N149" s="108" t="s">
        <v>6389</v>
      </c>
      <c r="O149" s="109"/>
      <c r="P149" s="109"/>
      <c r="Q149" s="115" t="s">
        <v>203</v>
      </c>
      <c r="R149" s="116"/>
      <c r="S149" s="117"/>
      <c r="T149" s="118"/>
      <c r="U149" s="117"/>
      <c r="V149" s="102"/>
      <c r="W149" s="102"/>
      <c r="X149" s="102"/>
      <c r="Y149" s="102"/>
      <c r="Z149" s="102"/>
      <c r="AA149" s="102"/>
      <c r="AB149" s="102"/>
      <c r="AC149" s="113"/>
      <c r="AD149" s="113"/>
      <c r="AE149" s="113"/>
    </row>
    <row r="150">
      <c r="A150" s="114">
        <v>7.290000174099E12</v>
      </c>
      <c r="B150" s="104" t="str">
        <f t="shared" si="1"/>
        <v>elite_Abortion chocolate 500g</v>
      </c>
      <c r="C150" s="105">
        <v>0.15</v>
      </c>
      <c r="D150" s="105">
        <v>0.23</v>
      </c>
      <c r="E150" s="105">
        <v>0.035</v>
      </c>
      <c r="F150" s="106">
        <f>ROUND('Meta data'!$B$1/E150,0)</f>
        <v>9</v>
      </c>
      <c r="G150" s="107"/>
      <c r="H150" s="105" t="s">
        <v>1164</v>
      </c>
      <c r="I150" s="105" t="str">
        <f>IFERROR(__xludf.DUMMYFUNCTION("GOOGLETRANSLATE(H150,""he"",""en"")"),"elite")</f>
        <v>elite</v>
      </c>
      <c r="J150" s="105" t="s">
        <v>206</v>
      </c>
      <c r="K150" s="105" t="str">
        <f>IFERROR(__xludf.DUMMYFUNCTION("GOOGLETRANSLATE(J150,""he"",""en"")"),"Abortion chocolate 500g")</f>
        <v>Abortion chocolate 500g</v>
      </c>
      <c r="L150" s="104" t="s">
        <v>210</v>
      </c>
      <c r="M150" s="105" t="s">
        <v>6388</v>
      </c>
      <c r="N150" s="108" t="s">
        <v>6389</v>
      </c>
      <c r="O150" s="109"/>
      <c r="P150" s="109"/>
      <c r="Q150" s="115" t="s">
        <v>209</v>
      </c>
      <c r="R150" s="116"/>
      <c r="S150" s="117"/>
      <c r="T150" s="118"/>
      <c r="U150" s="117"/>
      <c r="V150" s="102"/>
      <c r="W150" s="102"/>
      <c r="X150" s="102"/>
      <c r="Y150" s="102"/>
      <c r="Z150" s="102"/>
      <c r="AA150" s="102"/>
      <c r="AB150" s="102"/>
      <c r="AC150" s="113"/>
      <c r="AD150" s="113"/>
      <c r="AE150" s="113"/>
    </row>
    <row r="151">
      <c r="A151" s="114">
        <v>7.290008753883E12</v>
      </c>
      <c r="B151" s="104" t="str">
        <f t="shared" si="1"/>
        <v>elite_Abortion Truffles Market + 350 crumbs</v>
      </c>
      <c r="C151" s="105">
        <v>0.15</v>
      </c>
      <c r="D151" s="105">
        <v>0.23</v>
      </c>
      <c r="E151" s="105">
        <v>0.035</v>
      </c>
      <c r="F151" s="106">
        <f>ROUND('Meta data'!$B$1/E151,0)</f>
        <v>9</v>
      </c>
      <c r="G151" s="107"/>
      <c r="H151" s="105" t="s">
        <v>1164</v>
      </c>
      <c r="I151" s="105" t="str">
        <f>IFERROR(__xludf.DUMMYFUNCTION("GOOGLETRANSLATE(H151,""he"",""en"")"),"elite")</f>
        <v>elite</v>
      </c>
      <c r="J151" s="105" t="s">
        <v>213</v>
      </c>
      <c r="K151" s="105" t="str">
        <f>IFERROR(__xludf.DUMMYFUNCTION("GOOGLETRANSLATE(J151,""he"",""en"")"),"Abortion Truffles Market + 350 crumbs")</f>
        <v>Abortion Truffles Market + 350 crumbs</v>
      </c>
      <c r="L151" s="104" t="s">
        <v>217</v>
      </c>
      <c r="M151" s="105" t="s">
        <v>6388</v>
      </c>
      <c r="N151" s="108" t="s">
        <v>6389</v>
      </c>
      <c r="O151" s="109"/>
      <c r="P151" s="109"/>
      <c r="Q151" s="115" t="s">
        <v>216</v>
      </c>
      <c r="R151" s="116"/>
      <c r="S151" s="117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13"/>
      <c r="AD151" s="113"/>
      <c r="AE151" s="113"/>
    </row>
    <row r="152">
      <c r="A152" s="114">
        <v>7.290000181103E12</v>
      </c>
      <c r="B152" s="104" t="str">
        <f t="shared" si="1"/>
        <v>elite_Milk chocolate biscuit 200.00 g</v>
      </c>
      <c r="C152" s="105">
        <v>0.24</v>
      </c>
      <c r="D152" s="105">
        <v>0.09</v>
      </c>
      <c r="E152" s="105">
        <v>0.03</v>
      </c>
      <c r="F152" s="106">
        <f>ROUND('Meta data'!$B$1/E152,0)</f>
        <v>10</v>
      </c>
      <c r="G152" s="107"/>
      <c r="H152" s="105" t="s">
        <v>1164</v>
      </c>
      <c r="I152" s="105" t="str">
        <f>IFERROR(__xludf.DUMMYFUNCTION("GOOGLETRANSLATE(H152,""he"",""en"")"),"elite")</f>
        <v>elite</v>
      </c>
      <c r="J152" s="105" t="s">
        <v>1182</v>
      </c>
      <c r="K152" s="105" t="str">
        <f>IFERROR(__xludf.DUMMYFUNCTION("GOOGLETRANSLATE(J152,""he"",""en"")"),"Milk chocolate biscuit 200.00 g")</f>
        <v>Milk chocolate biscuit 200.00 g</v>
      </c>
      <c r="L152" s="104" t="s">
        <v>1186</v>
      </c>
      <c r="M152" s="105" t="s">
        <v>6302</v>
      </c>
      <c r="N152" s="108" t="s">
        <v>6303</v>
      </c>
      <c r="O152" s="109"/>
      <c r="P152" s="109"/>
      <c r="Q152" s="111" t="s">
        <v>1185</v>
      </c>
      <c r="R152" s="111"/>
      <c r="S152" s="112"/>
      <c r="T152" s="118"/>
      <c r="U152" s="112"/>
      <c r="V152" s="102"/>
      <c r="W152" s="102"/>
      <c r="X152" s="102"/>
      <c r="Y152" s="102"/>
      <c r="Z152" s="102"/>
      <c r="AA152" s="102"/>
      <c r="AB152" s="102"/>
      <c r="AC152" s="113"/>
      <c r="AD152" s="113"/>
      <c r="AE152" s="113"/>
    </row>
    <row r="153">
      <c r="A153" s="114">
        <v>7.290005199622E12</v>
      </c>
      <c r="B153" s="104" t="str">
        <f t="shared" si="1"/>
        <v>elite_Dark until midnight 200.00 g</v>
      </c>
      <c r="C153" s="105">
        <v>0.24</v>
      </c>
      <c r="D153" s="105">
        <v>0.09</v>
      </c>
      <c r="E153" s="105">
        <v>0.03</v>
      </c>
      <c r="F153" s="106">
        <f>ROUND('Meta data'!$B$1/E153,0)</f>
        <v>10</v>
      </c>
      <c r="G153" s="107"/>
      <c r="H153" s="105" t="s">
        <v>1164</v>
      </c>
      <c r="I153" s="105" t="str">
        <f>IFERROR(__xludf.DUMMYFUNCTION("GOOGLETRANSLATE(H153,""he"",""en"")"),"elite")</f>
        <v>elite</v>
      </c>
      <c r="J153" s="105" t="s">
        <v>1176</v>
      </c>
      <c r="K153" s="105" t="str">
        <f>IFERROR(__xludf.DUMMYFUNCTION("GOOGLETRANSLATE(J153,""he"",""en"")"),"Dark until midnight 200.00 g")</f>
        <v>Dark until midnight 200.00 g</v>
      </c>
      <c r="L153" s="104" t="s">
        <v>1180</v>
      </c>
      <c r="M153" s="105" t="s">
        <v>6302</v>
      </c>
      <c r="N153" s="108" t="s">
        <v>6303</v>
      </c>
      <c r="O153" s="109"/>
      <c r="P153" s="109"/>
      <c r="Q153" s="111" t="s">
        <v>1179</v>
      </c>
      <c r="R153" s="111"/>
      <c r="S153" s="118"/>
      <c r="T153" s="112"/>
      <c r="U153" s="102"/>
      <c r="V153" s="102"/>
      <c r="W153" s="102"/>
      <c r="X153" s="102"/>
      <c r="Y153" s="102"/>
      <c r="Z153" s="102"/>
      <c r="AA153" s="102"/>
      <c r="AB153" s="102"/>
      <c r="AC153" s="113"/>
      <c r="AD153" s="113"/>
      <c r="AE153" s="113"/>
    </row>
    <row r="154">
      <c r="A154" s="114">
        <v>7.290112336637E12</v>
      </c>
      <c r="B154" s="104" t="str">
        <f t="shared" si="1"/>
        <v>elite_Les candy Strawberry Blueberry 80 g</v>
      </c>
      <c r="C154" s="105">
        <v>0.12</v>
      </c>
      <c r="D154" s="105">
        <v>0.19</v>
      </c>
      <c r="E154" s="105">
        <v>0.015</v>
      </c>
      <c r="F154" s="106">
        <f>ROUND('Meta data'!$B$1/E154,0)</f>
        <v>20</v>
      </c>
      <c r="G154" s="107"/>
      <c r="H154" s="105" t="s">
        <v>1164</v>
      </c>
      <c r="I154" s="105" t="str">
        <f>IFERROR(__xludf.DUMMYFUNCTION("GOOGLETRANSLATE(H154,""he"",""en"")"),"elite")</f>
        <v>elite</v>
      </c>
      <c r="J154" s="105" t="s">
        <v>2914</v>
      </c>
      <c r="K154" s="105" t="str">
        <f>IFERROR(__xludf.DUMMYFUNCTION("GOOGLETRANSLATE(J154,""he"",""en"")"),"Les candy Strawberry Blueberry 80 g")</f>
        <v>Les candy Strawberry Blueberry 80 g</v>
      </c>
      <c r="L154" s="104" t="s">
        <v>2918</v>
      </c>
      <c r="M154" s="105" t="s">
        <v>6391</v>
      </c>
      <c r="N154" s="108" t="s">
        <v>6392</v>
      </c>
      <c r="O154" s="109"/>
      <c r="P154" s="109"/>
      <c r="Q154" s="111" t="s">
        <v>2917</v>
      </c>
      <c r="R154" s="116"/>
      <c r="S154" s="117"/>
      <c r="T154" s="117"/>
      <c r="U154" s="118"/>
      <c r="V154" s="117"/>
      <c r="W154" s="102"/>
      <c r="X154" s="102"/>
      <c r="Y154" s="102"/>
      <c r="Z154" s="102"/>
      <c r="AA154" s="102"/>
      <c r="AB154" s="102"/>
      <c r="AC154" s="113"/>
      <c r="AD154" s="113"/>
      <c r="AE154" s="113"/>
    </row>
    <row r="155">
      <c r="A155" s="114">
        <v>7.290112336644E12</v>
      </c>
      <c r="B155" s="104" t="str">
        <f t="shared" si="1"/>
        <v>elite_Les lemon candies Elite 80 grams</v>
      </c>
      <c r="C155" s="105">
        <v>0.12</v>
      </c>
      <c r="D155" s="105">
        <v>0.19</v>
      </c>
      <c r="E155" s="105">
        <v>0.015</v>
      </c>
      <c r="F155" s="106">
        <f>ROUND('Meta data'!$B$1/E155,0)</f>
        <v>20</v>
      </c>
      <c r="G155" s="107"/>
      <c r="H155" s="105" t="s">
        <v>1164</v>
      </c>
      <c r="I155" s="105" t="str">
        <f>IFERROR(__xludf.DUMMYFUNCTION("GOOGLETRANSLATE(H155,""he"",""en"")"),"elite")</f>
        <v>elite</v>
      </c>
      <c r="J155" s="105" t="s">
        <v>2920</v>
      </c>
      <c r="K155" s="105" t="str">
        <f>IFERROR(__xludf.DUMMYFUNCTION("GOOGLETRANSLATE(J155,""he"",""en"")"),"Les lemon candies Elite 80 grams")</f>
        <v>Les lemon candies Elite 80 grams</v>
      </c>
      <c r="L155" s="104" t="s">
        <v>2924</v>
      </c>
      <c r="M155" s="105" t="s">
        <v>6391</v>
      </c>
      <c r="N155" s="108" t="s">
        <v>6392</v>
      </c>
      <c r="O155" s="109"/>
      <c r="P155" s="109"/>
      <c r="Q155" s="115" t="s">
        <v>2923</v>
      </c>
      <c r="R155" s="116"/>
      <c r="S155" s="117"/>
      <c r="T155" s="117"/>
      <c r="U155" s="102"/>
      <c r="V155" s="102"/>
      <c r="W155" s="102"/>
      <c r="X155" s="102"/>
      <c r="Y155" s="102"/>
      <c r="Z155" s="102"/>
      <c r="AA155" s="102"/>
      <c r="AB155" s="102"/>
      <c r="AC155" s="113"/>
      <c r="AD155" s="113"/>
      <c r="AE155" s="113"/>
    </row>
    <row r="156">
      <c r="A156" s="114">
        <v>7.290112337481E12</v>
      </c>
      <c r="B156" s="104" t="str">
        <f t="shared" si="1"/>
        <v>elite_Les candy cappuccino Elite 80 g</v>
      </c>
      <c r="C156" s="105">
        <v>0.12</v>
      </c>
      <c r="D156" s="105">
        <v>0.19</v>
      </c>
      <c r="E156" s="105">
        <v>0.015</v>
      </c>
      <c r="F156" s="106">
        <f>ROUND('Meta data'!$B$1/E156,0)</f>
        <v>20</v>
      </c>
      <c r="G156" s="107"/>
      <c r="H156" s="105" t="s">
        <v>1164</v>
      </c>
      <c r="I156" s="105" t="str">
        <f>IFERROR(__xludf.DUMMYFUNCTION("GOOGLETRANSLATE(H156,""he"",""en"")"),"elite")</f>
        <v>elite</v>
      </c>
      <c r="J156" s="105" t="s">
        <v>2908</v>
      </c>
      <c r="K156" s="105" t="str">
        <f>IFERROR(__xludf.DUMMYFUNCTION("GOOGLETRANSLATE(J156,""he"",""en"")"),"Les candy cappuccino Elite 80 g")</f>
        <v>Les candy cappuccino Elite 80 g</v>
      </c>
      <c r="L156" s="104" t="s">
        <v>2912</v>
      </c>
      <c r="M156" s="105" t="s">
        <v>6391</v>
      </c>
      <c r="N156" s="108" t="s">
        <v>6392</v>
      </c>
      <c r="O156" s="109"/>
      <c r="P156" s="109"/>
      <c r="Q156" s="115" t="s">
        <v>2911</v>
      </c>
      <c r="R156" s="116"/>
      <c r="S156" s="117"/>
      <c r="T156" s="117"/>
      <c r="U156" s="102"/>
      <c r="V156" s="102"/>
      <c r="W156" s="102"/>
      <c r="X156" s="102"/>
      <c r="Y156" s="102"/>
      <c r="Z156" s="102"/>
      <c r="AA156" s="102"/>
      <c r="AB156" s="102"/>
      <c r="AC156" s="113"/>
      <c r="AD156" s="113"/>
      <c r="AE156" s="113"/>
    </row>
    <row r="157">
      <c r="A157" s="114">
        <v>7.290112336651E12</v>
      </c>
      <c r="B157" s="104" t="str">
        <f t="shared" si="1"/>
        <v>elite_Elite Les butterscotch candy 80 g</v>
      </c>
      <c r="C157" s="105">
        <v>0.12</v>
      </c>
      <c r="D157" s="105">
        <v>0.19</v>
      </c>
      <c r="E157" s="105">
        <v>0.015</v>
      </c>
      <c r="F157" s="106">
        <f>ROUND('Meta data'!$B$1/E157,0)</f>
        <v>20</v>
      </c>
      <c r="G157" s="107"/>
      <c r="H157" s="105" t="s">
        <v>1164</v>
      </c>
      <c r="I157" s="105" t="str">
        <f>IFERROR(__xludf.DUMMYFUNCTION("GOOGLETRANSLATE(H157,""he"",""en"")"),"elite")</f>
        <v>elite</v>
      </c>
      <c r="J157" s="105" t="s">
        <v>2902</v>
      </c>
      <c r="K157" s="105" t="str">
        <f>IFERROR(__xludf.DUMMYFUNCTION("GOOGLETRANSLATE(J157,""he"",""en"")"),"Elite Les butterscotch candy 80 g")</f>
        <v>Elite Les butterscotch candy 80 g</v>
      </c>
      <c r="L157" s="104" t="s">
        <v>2906</v>
      </c>
      <c r="M157" s="105" t="s">
        <v>6391</v>
      </c>
      <c r="N157" s="108" t="s">
        <v>6392</v>
      </c>
      <c r="O157" s="109"/>
      <c r="P157" s="109"/>
      <c r="Q157" s="115" t="s">
        <v>2905</v>
      </c>
      <c r="R157" s="115"/>
      <c r="S157" s="117"/>
      <c r="T157" s="117"/>
      <c r="U157" s="102"/>
      <c r="V157" s="102"/>
      <c r="W157" s="102"/>
      <c r="X157" s="102"/>
      <c r="Y157" s="102"/>
      <c r="Z157" s="102"/>
      <c r="AA157" s="102"/>
      <c r="AB157" s="102"/>
      <c r="AC157" s="113"/>
      <c r="AD157" s="113"/>
      <c r="AE157" s="113"/>
    </row>
    <row r="158">
      <c r="A158" s="114">
        <v>7.290112337474E12</v>
      </c>
      <c r="B158" s="104" t="str">
        <f t="shared" si="1"/>
        <v>elite_Elite Candy Raspberry Lemon 80 g</v>
      </c>
      <c r="C158" s="105">
        <v>0.12</v>
      </c>
      <c r="D158" s="105">
        <v>0.19</v>
      </c>
      <c r="E158" s="105">
        <v>0.015</v>
      </c>
      <c r="F158" s="106">
        <f>ROUND('Meta data'!$B$1/E158,0)</f>
        <v>20</v>
      </c>
      <c r="G158" s="107"/>
      <c r="H158" s="105" t="s">
        <v>1164</v>
      </c>
      <c r="I158" s="105" t="str">
        <f>IFERROR(__xludf.DUMMYFUNCTION("GOOGLETRANSLATE(H158,""he"",""en"")"),"elite")</f>
        <v>elite</v>
      </c>
      <c r="J158" s="105" t="s">
        <v>2896</v>
      </c>
      <c r="K158" s="105" t="str">
        <f>IFERROR(__xludf.DUMMYFUNCTION("GOOGLETRANSLATE(J158,""he"",""en"")"),"Elite Candy Raspberry Lemon 80 g")</f>
        <v>Elite Candy Raspberry Lemon 80 g</v>
      </c>
      <c r="L158" s="104" t="s">
        <v>2900</v>
      </c>
      <c r="M158" s="105" t="s">
        <v>6391</v>
      </c>
      <c r="N158" s="108" t="s">
        <v>6392</v>
      </c>
      <c r="O158" s="109"/>
      <c r="P158" s="109"/>
      <c r="Q158" s="115" t="s">
        <v>2899</v>
      </c>
      <c r="R158" s="101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13"/>
      <c r="AD158" s="113"/>
      <c r="AE158" s="113"/>
    </row>
    <row r="159">
      <c r="A159" s="114">
        <v>7.290100853689E12</v>
      </c>
      <c r="B159" s="104" t="str">
        <f t="shared" si="1"/>
        <v>elite_Rich Chocolate Brownies</v>
      </c>
      <c r="C159" s="105">
        <v>0.28</v>
      </c>
      <c r="D159" s="105">
        <v>0.125</v>
      </c>
      <c r="E159" s="105">
        <v>0.03</v>
      </c>
      <c r="F159" s="106">
        <f>ROUND('Meta data'!$B$1/E159,0)</f>
        <v>10</v>
      </c>
      <c r="G159" s="107"/>
      <c r="H159" s="105" t="s">
        <v>1164</v>
      </c>
      <c r="I159" s="105" t="str">
        <f>IFERROR(__xludf.DUMMYFUNCTION("GOOGLETRANSLATE(H159,""he"",""en"")"),"elite")</f>
        <v>elite</v>
      </c>
      <c r="J159" s="105" t="s">
        <v>1211</v>
      </c>
      <c r="K159" s="105" t="str">
        <f>IFERROR(__xludf.DUMMYFUNCTION("GOOGLETRANSLATE(J159,""he"",""en"")"),"Rich Chocolate Brownies")</f>
        <v>Rich Chocolate Brownies</v>
      </c>
      <c r="L159" s="104" t="s">
        <v>1215</v>
      </c>
      <c r="M159" s="105" t="s">
        <v>6393</v>
      </c>
      <c r="N159" s="108" t="s">
        <v>6394</v>
      </c>
      <c r="O159" s="109"/>
      <c r="P159" s="109"/>
      <c r="Q159" s="115" t="s">
        <v>1214</v>
      </c>
      <c r="R159" s="116"/>
      <c r="S159" s="118"/>
      <c r="T159" s="117"/>
      <c r="U159" s="117"/>
      <c r="V159" s="102"/>
      <c r="W159" s="102"/>
      <c r="X159" s="102"/>
      <c r="Y159" s="102"/>
      <c r="Z159" s="102"/>
      <c r="AA159" s="102"/>
      <c r="AB159" s="102"/>
      <c r="AC159" s="113"/>
      <c r="AD159" s="113"/>
      <c r="AE159" s="113"/>
    </row>
    <row r="160">
      <c r="A160" s="114">
        <v>7.290112345332E12</v>
      </c>
      <c r="B160" s="104" t="str">
        <f t="shared" si="1"/>
        <v>elite_Crunch chocolate cake yeast</v>
      </c>
      <c r="C160" s="105">
        <v>0.27</v>
      </c>
      <c r="D160" s="105">
        <v>0.115</v>
      </c>
      <c r="E160" s="105">
        <v>0.045</v>
      </c>
      <c r="F160" s="106">
        <f>ROUND('Meta data'!$B$1/E160,0)</f>
        <v>7</v>
      </c>
      <c r="G160" s="107"/>
      <c r="H160" s="105" t="s">
        <v>1164</v>
      </c>
      <c r="I160" s="105" t="str">
        <f>IFERROR(__xludf.DUMMYFUNCTION("GOOGLETRANSLATE(H160,""he"",""en"")"),"elite")</f>
        <v>elite</v>
      </c>
      <c r="J160" s="105" t="s">
        <v>1200</v>
      </c>
      <c r="K160" s="105" t="str">
        <f>IFERROR(__xludf.DUMMYFUNCTION("GOOGLETRANSLATE(J160,""he"",""en"")"),"Crunch chocolate cake yeast")</f>
        <v>Crunch chocolate cake yeast</v>
      </c>
      <c r="L160" s="104" t="s">
        <v>1205</v>
      </c>
      <c r="M160" s="105" t="s">
        <v>6393</v>
      </c>
      <c r="N160" s="108" t="s">
        <v>6395</v>
      </c>
      <c r="O160" s="109"/>
      <c r="P160" s="109"/>
      <c r="Q160" s="115" t="s">
        <v>1204</v>
      </c>
      <c r="R160" s="116"/>
      <c r="S160" s="118"/>
      <c r="T160" s="117"/>
      <c r="U160" s="117"/>
      <c r="V160" s="102"/>
      <c r="W160" s="102"/>
      <c r="X160" s="102"/>
      <c r="Y160" s="102"/>
      <c r="Z160" s="102"/>
      <c r="AA160" s="102"/>
      <c r="AB160" s="102"/>
      <c r="AC160" s="113"/>
      <c r="AD160" s="113"/>
      <c r="AE160" s="113"/>
    </row>
    <row r="161">
      <c r="A161" s="114">
        <v>7.290000174723E12</v>
      </c>
      <c r="B161" s="104" t="str">
        <f t="shared" si="1"/>
        <v>elite_Chocolite Tinned Elite 500 g</v>
      </c>
      <c r="C161" s="105">
        <v>0.085</v>
      </c>
      <c r="D161" s="105">
        <v>0.14</v>
      </c>
      <c r="E161" s="105">
        <v>0.09999999</v>
      </c>
      <c r="F161" s="106">
        <f>ROUND('Meta data'!$B$1/E161,0)</f>
        <v>3</v>
      </c>
      <c r="G161" s="107"/>
      <c r="H161" s="105" t="s">
        <v>1164</v>
      </c>
      <c r="I161" s="105" t="str">
        <f>IFERROR(__xludf.DUMMYFUNCTION("GOOGLETRANSLATE(H161,""he"",""en"")"),"elite")</f>
        <v>elite</v>
      </c>
      <c r="J161" s="105" t="s">
        <v>1166</v>
      </c>
      <c r="K161" s="105" t="str">
        <f>IFERROR(__xludf.DUMMYFUNCTION("GOOGLETRANSLATE(J161,""he"",""en"")"),"Chocolite Tinned Elite 500 g")</f>
        <v>Chocolite Tinned Elite 500 g</v>
      </c>
      <c r="L161" s="104" t="s">
        <v>1171</v>
      </c>
      <c r="M161" s="105" t="s">
        <v>1169</v>
      </c>
      <c r="N161" s="108" t="s">
        <v>1169</v>
      </c>
      <c r="O161" s="109"/>
      <c r="P161" s="109"/>
      <c r="Q161" s="115" t="s">
        <v>1170</v>
      </c>
      <c r="R161" s="116"/>
      <c r="S161" s="117"/>
      <c r="T161" s="117"/>
      <c r="U161" s="117"/>
      <c r="V161" s="102"/>
      <c r="W161" s="102"/>
      <c r="X161" s="102"/>
      <c r="Y161" s="102"/>
      <c r="Z161" s="102"/>
      <c r="AA161" s="102"/>
      <c r="AB161" s="102"/>
      <c r="AC161" s="113"/>
      <c r="AD161" s="113"/>
      <c r="AE161" s="113"/>
    </row>
    <row r="162">
      <c r="A162" s="114">
        <v>7.290005201882E12</v>
      </c>
      <c r="B162" s="104" t="str">
        <f t="shared" si="1"/>
        <v>Elite-coffee_Turkish Coffee 200g cellophane</v>
      </c>
      <c r="C162" s="105">
        <v>0.12</v>
      </c>
      <c r="D162" s="105">
        <v>0.18</v>
      </c>
      <c r="E162" s="105">
        <v>0.02</v>
      </c>
      <c r="F162" s="106">
        <f>ROUND('Meta data'!$B$1/E162,0)</f>
        <v>15</v>
      </c>
      <c r="G162" s="107"/>
      <c r="H162" s="105" t="s">
        <v>1217</v>
      </c>
      <c r="I162" s="105" t="str">
        <f>IFERROR(__xludf.DUMMYFUNCTION("GOOGLETRANSLATE(H162,""he"",""en"")"),"Elite coffee")</f>
        <v>Elite coffee</v>
      </c>
      <c r="J162" s="105" t="s">
        <v>1291</v>
      </c>
      <c r="K162" s="105" t="str">
        <f>IFERROR(__xludf.DUMMYFUNCTION("GOOGLETRANSLATE(J162,""he"",""en"")"),"Turkish Coffee 200g cellophane")</f>
        <v>Turkish Coffee 200g cellophane</v>
      </c>
      <c r="L162" s="104" t="s">
        <v>1295</v>
      </c>
      <c r="M162" s="105" t="s">
        <v>6396</v>
      </c>
      <c r="N162" s="108" t="s">
        <v>6397</v>
      </c>
      <c r="O162" s="109"/>
      <c r="P162" s="109"/>
      <c r="Q162" s="111" t="s">
        <v>1294</v>
      </c>
      <c r="R162" s="115"/>
      <c r="S162" s="11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13"/>
      <c r="AD162" s="113"/>
      <c r="AE162" s="113"/>
    </row>
    <row r="163">
      <c r="A163" s="114">
        <v>7.29000017642E12</v>
      </c>
      <c r="B163" s="104" t="str">
        <f t="shared" si="1"/>
        <v>Elite-coffee_Instant coffee 200g</v>
      </c>
      <c r="C163" s="105">
        <v>0.09</v>
      </c>
      <c r="D163" s="105">
        <v>0.174</v>
      </c>
      <c r="E163" s="105">
        <v>0.093</v>
      </c>
      <c r="F163" s="106">
        <f>ROUND('Meta data'!$B$1/E163,0)</f>
        <v>3</v>
      </c>
      <c r="G163" s="107"/>
      <c r="H163" s="105" t="s">
        <v>1217</v>
      </c>
      <c r="I163" s="105" t="str">
        <f>IFERROR(__xludf.DUMMYFUNCTION("GOOGLETRANSLATE(H163,""he"",""en"")"),"Elite coffee")</f>
        <v>Elite coffee</v>
      </c>
      <c r="J163" s="105" t="s">
        <v>1276</v>
      </c>
      <c r="K163" s="105" t="str">
        <f>IFERROR(__xludf.DUMMYFUNCTION("GOOGLETRANSLATE(J163,""he"",""en"")"),"Instant coffee 200g")</f>
        <v>Instant coffee 200g</v>
      </c>
      <c r="L163" s="104" t="s">
        <v>1280</v>
      </c>
      <c r="M163" s="105" t="s">
        <v>6396</v>
      </c>
      <c r="N163" s="108" t="s">
        <v>6397</v>
      </c>
      <c r="O163" s="109"/>
      <c r="P163" s="109"/>
      <c r="Q163" s="111" t="s">
        <v>1279</v>
      </c>
      <c r="R163" s="115"/>
      <c r="S163" s="11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13"/>
      <c r="AD163" s="113"/>
      <c r="AE163" s="113"/>
    </row>
    <row r="164">
      <c r="A164" s="114">
        <v>7.290112344427E12</v>
      </c>
      <c r="B164" s="104" t="str">
        <f t="shared" si="1"/>
        <v>Elite-coffee_Elite instant coffee 100g</v>
      </c>
      <c r="C164" s="105">
        <v>0.08</v>
      </c>
      <c r="D164" s="105">
        <v>0.13</v>
      </c>
      <c r="E164" s="105">
        <v>0.057</v>
      </c>
      <c r="F164" s="106">
        <f>ROUND('Meta data'!$B$1/E164,0)</f>
        <v>5</v>
      </c>
      <c r="G164" s="107"/>
      <c r="H164" s="105" t="s">
        <v>1217</v>
      </c>
      <c r="I164" s="105" t="str">
        <f>IFERROR(__xludf.DUMMYFUNCTION("GOOGLETRANSLATE(H164,""he"",""en"")"),"Elite coffee")</f>
        <v>Elite coffee</v>
      </c>
      <c r="J164" s="105" t="s">
        <v>1259</v>
      </c>
      <c r="K164" s="105" t="str">
        <f>IFERROR(__xludf.DUMMYFUNCTION("GOOGLETRANSLATE(J164,""he"",""en"")"),"Elite instant coffee 100g")</f>
        <v>Elite instant coffee 100g</v>
      </c>
      <c r="L164" s="104" t="s">
        <v>1265</v>
      </c>
      <c r="M164" s="105" t="s">
        <v>6396</v>
      </c>
      <c r="N164" s="108" t="s">
        <v>6397</v>
      </c>
      <c r="O164" s="109"/>
      <c r="P164" s="109"/>
      <c r="Q164" s="111" t="s">
        <v>1264</v>
      </c>
      <c r="R164" s="115"/>
      <c r="S164" s="11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13"/>
      <c r="AD164" s="113"/>
      <c r="AE164" s="113"/>
    </row>
    <row r="165">
      <c r="A165" s="114">
        <v>7.290107956932E12</v>
      </c>
      <c r="B165" s="104" t="str">
        <f t="shared" si="1"/>
        <v>Elite-coffee_Capsules Indonesia</v>
      </c>
      <c r="C165" s="105">
        <v>0.08</v>
      </c>
      <c r="D165" s="105">
        <v>0.195</v>
      </c>
      <c r="E165" s="105">
        <v>0.03</v>
      </c>
      <c r="F165" s="106">
        <f>ROUND('Meta data'!$B$1/E165,0)</f>
        <v>10</v>
      </c>
      <c r="G165" s="107"/>
      <c r="H165" s="105" t="s">
        <v>1217</v>
      </c>
      <c r="I165" s="105" t="str">
        <f>IFERROR(__xludf.DUMMYFUNCTION("GOOGLETRANSLATE(H165,""he"",""en"")"),"Elite coffee")</f>
        <v>Elite coffee</v>
      </c>
      <c r="J165" s="105" t="s">
        <v>1236</v>
      </c>
      <c r="K165" s="105" t="str">
        <f>IFERROR(__xludf.DUMMYFUNCTION("GOOGLETRANSLATE(J165,""he"",""en"")"),"Capsules Indonesia")</f>
        <v>Capsules Indonesia</v>
      </c>
      <c r="L165" s="104" t="s">
        <v>1240</v>
      </c>
      <c r="M165" s="105" t="s">
        <v>6398</v>
      </c>
      <c r="N165" s="108" t="s">
        <v>6399</v>
      </c>
      <c r="O165" s="109"/>
      <c r="P165" s="109"/>
      <c r="Q165" s="111" t="s">
        <v>1239</v>
      </c>
      <c r="R165" s="111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13"/>
      <c r="AD165" s="113"/>
      <c r="AE165" s="113"/>
    </row>
    <row r="166">
      <c r="A166" s="114">
        <v>7.290106525399E12</v>
      </c>
      <c r="B166" s="104" t="str">
        <f t="shared" si="1"/>
        <v>Elite-coffee_Brazil Espresso capsules 10 pcs * 5 g</v>
      </c>
      <c r="C166" s="105">
        <v>0.08</v>
      </c>
      <c r="D166" s="105">
        <v>0.195</v>
      </c>
      <c r="E166" s="105">
        <v>0.03</v>
      </c>
      <c r="F166" s="106">
        <f>ROUND('Meta data'!$B$1/E166,0)</f>
        <v>10</v>
      </c>
      <c r="G166" s="107"/>
      <c r="H166" s="105" t="s">
        <v>1217</v>
      </c>
      <c r="I166" s="105" t="str">
        <f>IFERROR(__xludf.DUMMYFUNCTION("GOOGLETRANSLATE(H166,""he"",""en"")"),"Elite coffee")</f>
        <v>Elite coffee</v>
      </c>
      <c r="J166" s="105" t="s">
        <v>1229</v>
      </c>
      <c r="K166" s="105" t="str">
        <f>IFERROR(__xludf.DUMMYFUNCTION("GOOGLETRANSLATE(J166,""he"",""en"")"),"Brazil Espresso capsules 10 pcs * 5 g")</f>
        <v>Brazil Espresso capsules 10 pcs * 5 g</v>
      </c>
      <c r="L166" s="104" t="s">
        <v>1233</v>
      </c>
      <c r="M166" s="105" t="s">
        <v>6398</v>
      </c>
      <c r="N166" s="108" t="s">
        <v>6399</v>
      </c>
      <c r="O166" s="109"/>
      <c r="P166" s="109"/>
      <c r="Q166" s="111" t="s">
        <v>1232</v>
      </c>
      <c r="R166" s="111"/>
      <c r="S166" s="112"/>
      <c r="T166" s="112"/>
      <c r="U166" s="118"/>
      <c r="V166" s="112"/>
      <c r="W166" s="102"/>
      <c r="X166" s="102"/>
      <c r="Y166" s="102"/>
      <c r="Z166" s="102"/>
      <c r="AA166" s="102"/>
      <c r="AB166" s="102"/>
      <c r="AC166" s="113"/>
      <c r="AD166" s="113"/>
      <c r="AE166" s="113"/>
    </row>
    <row r="167">
      <c r="A167" s="114">
        <v>8.003753158556E12</v>
      </c>
      <c r="B167" s="104" t="str">
        <f t="shared" si="1"/>
        <v>Elite-coffee_Classico ILLY espresso capsules 10 pcs 57 g</v>
      </c>
      <c r="C167" s="105">
        <v>0.09</v>
      </c>
      <c r="D167" s="105">
        <v>0.195</v>
      </c>
      <c r="E167" s="105">
        <v>0.13</v>
      </c>
      <c r="F167" s="106">
        <f>ROUND('Meta data'!$B$1/E167,0)</f>
        <v>2</v>
      </c>
      <c r="G167" s="107"/>
      <c r="H167" s="105" t="s">
        <v>1217</v>
      </c>
      <c r="I167" s="105" t="str">
        <f>IFERROR(__xludf.DUMMYFUNCTION("GOOGLETRANSLATE(H167,""he"",""en"")"),"Elite coffee")</f>
        <v>Elite coffee</v>
      </c>
      <c r="J167" s="105" t="s">
        <v>1251</v>
      </c>
      <c r="K167" s="105" t="str">
        <f>IFERROR(__xludf.DUMMYFUNCTION("GOOGLETRANSLATE(J167,""he"",""en"")"),"Classico ILLY espresso capsules 10 pcs 57 g")</f>
        <v>Classico ILLY espresso capsules 10 pcs 57 g</v>
      </c>
      <c r="L167" s="104" t="s">
        <v>1255</v>
      </c>
      <c r="M167" s="105" t="s">
        <v>6398</v>
      </c>
      <c r="N167" s="108" t="s">
        <v>6399</v>
      </c>
      <c r="O167" s="109"/>
      <c r="P167" s="109"/>
      <c r="Q167" s="111" t="s">
        <v>1254</v>
      </c>
      <c r="R167" s="111"/>
      <c r="S167" s="118"/>
      <c r="T167" s="112"/>
      <c r="U167" s="102"/>
      <c r="V167" s="102"/>
      <c r="W167" s="102"/>
      <c r="X167" s="102"/>
      <c r="Y167" s="102"/>
      <c r="Z167" s="102"/>
      <c r="AA167" s="102"/>
      <c r="AB167" s="102"/>
      <c r="AC167" s="113"/>
      <c r="AD167" s="113"/>
      <c r="AE167" s="113"/>
    </row>
    <row r="168">
      <c r="A168" s="114">
        <v>7.290110566623E12</v>
      </c>
      <c r="B168" s="104" t="str">
        <f t="shared" si="1"/>
        <v>Elite-coffee_10 Hail Columbia Capsules 5 g</v>
      </c>
      <c r="C168" s="105">
        <v>0.08</v>
      </c>
      <c r="D168" s="105">
        <v>0.195</v>
      </c>
      <c r="E168" s="105">
        <v>0.03</v>
      </c>
      <c r="F168" s="106">
        <f>ROUND('Meta data'!$B$1/E168,0)</f>
        <v>10</v>
      </c>
      <c r="G168" s="107"/>
      <c r="H168" s="105" t="s">
        <v>1217</v>
      </c>
      <c r="I168" s="105" t="str">
        <f>IFERROR(__xludf.DUMMYFUNCTION("GOOGLETRANSLATE(H168,""he"",""en"")"),"Elite coffee")</f>
        <v>Elite coffee</v>
      </c>
      <c r="J168" s="105" t="s">
        <v>1219</v>
      </c>
      <c r="K168" s="105" t="str">
        <f>IFERROR(__xludf.DUMMYFUNCTION("GOOGLETRANSLATE(J168,""he"",""en"")"),"10 Hail Columbia Capsules 5 g")</f>
        <v>10 Hail Columbia Capsules 5 g</v>
      </c>
      <c r="L168" s="104" t="s">
        <v>1225</v>
      </c>
      <c r="M168" s="105" t="s">
        <v>6398</v>
      </c>
      <c r="N168" s="108" t="s">
        <v>6399</v>
      </c>
      <c r="O168" s="109"/>
      <c r="P168" s="109"/>
      <c r="Q168" s="111" t="s">
        <v>1224</v>
      </c>
      <c r="R168" s="111"/>
      <c r="S168" s="112"/>
      <c r="T168" s="118"/>
      <c r="U168" s="112"/>
      <c r="V168" s="102"/>
      <c r="W168" s="102"/>
      <c r="X168" s="102"/>
      <c r="Y168" s="102"/>
      <c r="Z168" s="102"/>
      <c r="AA168" s="102"/>
      <c r="AB168" s="102"/>
      <c r="AC168" s="113"/>
      <c r="AD168" s="113"/>
      <c r="AE168" s="113"/>
    </row>
    <row r="169">
      <c r="A169" s="114">
        <v>7.290105360328E12</v>
      </c>
      <c r="B169" s="104" t="str">
        <f t="shared" si="1"/>
        <v>Elite-coffee_Espresso coffee capsules 10</v>
      </c>
      <c r="C169" s="105">
        <v>0.08</v>
      </c>
      <c r="D169" s="105">
        <v>0.195</v>
      </c>
      <c r="E169" s="105">
        <v>0.03</v>
      </c>
      <c r="F169" s="106">
        <f>ROUND('Meta data'!$B$1/E169,0)</f>
        <v>10</v>
      </c>
      <c r="G169" s="107"/>
      <c r="H169" s="105" t="s">
        <v>1217</v>
      </c>
      <c r="I169" s="105" t="str">
        <f>IFERROR(__xludf.DUMMYFUNCTION("GOOGLETRANSLATE(H169,""he"",""en"")"),"Elite coffee")</f>
        <v>Elite coffee</v>
      </c>
      <c r="J169" s="105" t="s">
        <v>1269</v>
      </c>
      <c r="K169" s="105" t="str">
        <f>IFERROR(__xludf.DUMMYFUNCTION("GOOGLETRANSLATE(J169,""he"",""en"")"),"Espresso coffee capsules 10")</f>
        <v>Espresso coffee capsules 10</v>
      </c>
      <c r="L169" s="104" t="s">
        <v>1273</v>
      </c>
      <c r="M169" s="105" t="s">
        <v>6398</v>
      </c>
      <c r="N169" s="108" t="s">
        <v>6399</v>
      </c>
      <c r="O169" s="109"/>
      <c r="P169" s="109"/>
      <c r="Q169" s="111" t="s">
        <v>1272</v>
      </c>
      <c r="R169" s="115"/>
      <c r="S169" s="11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13"/>
      <c r="AD169" s="113"/>
      <c r="AE169" s="113"/>
    </row>
    <row r="170">
      <c r="A170" s="114">
        <v>7.290107953559E12</v>
      </c>
      <c r="B170" s="104" t="str">
        <f t="shared" si="1"/>
        <v>Elite-coffee_Case Turkey via</v>
      </c>
      <c r="C170" s="105">
        <v>0.11</v>
      </c>
      <c r="D170" s="105">
        <v>0.18</v>
      </c>
      <c r="E170" s="105">
        <v>0.025</v>
      </c>
      <c r="F170" s="106">
        <f>ROUND('Meta data'!$B$1/E170,0)</f>
        <v>12</v>
      </c>
      <c r="G170" s="107"/>
      <c r="H170" s="105" t="s">
        <v>1217</v>
      </c>
      <c r="I170" s="105" t="str">
        <f>IFERROR(__xludf.DUMMYFUNCTION("GOOGLETRANSLATE(H170,""he"",""en"")"),"Elite coffee")</f>
        <v>Elite coffee</v>
      </c>
      <c r="J170" s="105" t="s">
        <v>1243</v>
      </c>
      <c r="K170" s="105" t="str">
        <f>IFERROR(__xludf.DUMMYFUNCTION("GOOGLETRANSLATE(J170,""he"",""en"")"),"Case Turkey via")</f>
        <v>Case Turkey via</v>
      </c>
      <c r="L170" s="104" t="s">
        <v>1247</v>
      </c>
      <c r="M170" s="105" t="s">
        <v>6306</v>
      </c>
      <c r="N170" s="108" t="s">
        <v>6307</v>
      </c>
      <c r="O170" s="109"/>
      <c r="P170" s="109"/>
      <c r="Q170" s="111" t="s">
        <v>1246</v>
      </c>
      <c r="R170" s="111"/>
      <c r="S170" s="118"/>
      <c r="T170" s="112"/>
      <c r="U170" s="102"/>
      <c r="V170" s="102"/>
      <c r="W170" s="102"/>
      <c r="X170" s="102"/>
      <c r="Y170" s="102"/>
      <c r="Z170" s="102"/>
      <c r="AA170" s="102"/>
      <c r="AB170" s="102"/>
      <c r="AC170" s="113"/>
      <c r="AD170" s="113"/>
      <c r="AE170" s="113"/>
    </row>
    <row r="171">
      <c r="A171" s="114">
        <v>7.290000176062E12</v>
      </c>
      <c r="B171" s="104" t="str">
        <f t="shared" si="1"/>
        <v>Elite-coffee_Turkish Coffee 100g cellophane</v>
      </c>
      <c r="C171" s="105">
        <v>0.09999999</v>
      </c>
      <c r="D171" s="105">
        <v>0.15</v>
      </c>
      <c r="E171" s="105">
        <v>0.02</v>
      </c>
      <c r="F171" s="106">
        <f>ROUND('Meta data'!$B$1/E171,0)</f>
        <v>15</v>
      </c>
      <c r="G171" s="107"/>
      <c r="H171" s="105" t="s">
        <v>1217</v>
      </c>
      <c r="I171" s="105" t="str">
        <f>IFERROR(__xludf.DUMMYFUNCTION("GOOGLETRANSLATE(H171,""he"",""en"")"),"Elite coffee")</f>
        <v>Elite coffee</v>
      </c>
      <c r="J171" s="105" t="s">
        <v>1283</v>
      </c>
      <c r="K171" s="105" t="str">
        <f>IFERROR(__xludf.DUMMYFUNCTION("GOOGLETRANSLATE(J171,""he"",""en"")"),"Turkish Coffee 100g cellophane")</f>
        <v>Turkish Coffee 100g cellophane</v>
      </c>
      <c r="L171" s="104" t="s">
        <v>1287</v>
      </c>
      <c r="M171" s="105" t="s">
        <v>6306</v>
      </c>
      <c r="N171" s="108" t="s">
        <v>6307</v>
      </c>
      <c r="O171" s="109"/>
      <c r="P171" s="109"/>
      <c r="Q171" s="111" t="s">
        <v>1286</v>
      </c>
      <c r="R171" s="101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13"/>
      <c r="AD171" s="113"/>
      <c r="AE171" s="113"/>
    </row>
    <row r="172">
      <c r="A172" s="114">
        <v>5.201044009706E12</v>
      </c>
      <c r="B172" s="104" t="str">
        <f t="shared" si="1"/>
        <v>Emissions_Cubes of caramelized peanuts 85g</v>
      </c>
      <c r="C172" s="105">
        <v>0.12</v>
      </c>
      <c r="D172" s="105">
        <v>0.18</v>
      </c>
      <c r="E172" s="105">
        <v>0.04</v>
      </c>
      <c r="F172" s="106">
        <f>ROUND('Meta data'!$B$1/E172,0)</f>
        <v>8</v>
      </c>
      <c r="G172" s="107"/>
      <c r="H172" s="105" t="s">
        <v>3317</v>
      </c>
      <c r="I172" s="105" t="str">
        <f>IFERROR(__xludf.DUMMYFUNCTION("GOOGLETRANSLATE(H172,""he"",""en"")"),"Emissions")</f>
        <v>Emissions</v>
      </c>
      <c r="J172" s="105" t="s">
        <v>3319</v>
      </c>
      <c r="K172" s="105" t="str">
        <f>IFERROR(__xludf.DUMMYFUNCTION("GOOGLETRANSLATE(J172,""he"",""en"")"),"Cubes of caramelized peanuts 85g")</f>
        <v>Cubes of caramelized peanuts 85g</v>
      </c>
      <c r="L172" s="104" t="s">
        <v>3321</v>
      </c>
      <c r="M172" s="105" t="s">
        <v>6309</v>
      </c>
      <c r="N172" s="108" t="s">
        <v>6400</v>
      </c>
      <c r="O172" s="109"/>
      <c r="P172" s="109"/>
      <c r="Q172" s="115" t="s">
        <v>3322</v>
      </c>
      <c r="R172" s="116"/>
      <c r="S172" s="117"/>
      <c r="T172" s="118"/>
      <c r="U172" s="117"/>
      <c r="V172" s="102"/>
      <c r="W172" s="102"/>
      <c r="X172" s="102"/>
      <c r="Y172" s="102"/>
      <c r="Z172" s="102"/>
      <c r="AA172" s="102"/>
      <c r="AB172" s="102"/>
      <c r="AC172" s="113"/>
      <c r="AD172" s="113"/>
      <c r="AE172" s="113"/>
    </row>
    <row r="173">
      <c r="A173" s="114">
        <v>7.290107947497E12</v>
      </c>
      <c r="B173" s="104" t="str">
        <f t="shared" si="1"/>
        <v>energy_Energy cereal bar with cream timeout</v>
      </c>
      <c r="C173" s="105">
        <v>0.135</v>
      </c>
      <c r="D173" s="105">
        <v>0.035</v>
      </c>
      <c r="E173" s="105">
        <v>0.02</v>
      </c>
      <c r="F173" s="106">
        <f>ROUND('Meta data'!$B$1/E173,0)</f>
        <v>15</v>
      </c>
      <c r="G173" s="107"/>
      <c r="H173" s="105" t="s">
        <v>1308</v>
      </c>
      <c r="I173" s="119" t="s">
        <v>6401</v>
      </c>
      <c r="J173" s="105" t="s">
        <v>1310</v>
      </c>
      <c r="K173" s="105" t="str">
        <f>IFERROR(__xludf.DUMMYFUNCTION("GOOGLETRANSLATE(J173,""he"",""en"")"),"Energy cereal bar with cream timeout")</f>
        <v>Energy cereal bar with cream timeout</v>
      </c>
      <c r="L173" s="104" t="s">
        <v>1314</v>
      </c>
      <c r="M173" s="105" t="s">
        <v>6321</v>
      </c>
      <c r="N173" s="108" t="s">
        <v>6322</v>
      </c>
      <c r="O173" s="109"/>
      <c r="P173" s="109"/>
      <c r="Q173" s="111" t="s">
        <v>1313</v>
      </c>
      <c r="R173" s="111"/>
      <c r="S173" s="11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13"/>
      <c r="AD173" s="113"/>
      <c r="AE173" s="113"/>
    </row>
    <row r="174">
      <c r="A174" s="114">
        <v>7.290107947503E12</v>
      </c>
      <c r="B174" s="104" t="str">
        <f t="shared" si="1"/>
        <v>energy_Energy comprises milk chocolate coated cereal</v>
      </c>
      <c r="C174" s="105">
        <v>0.135</v>
      </c>
      <c r="D174" s="105">
        <v>0.035</v>
      </c>
      <c r="E174" s="105">
        <v>0.02</v>
      </c>
      <c r="F174" s="106">
        <f>ROUND('Meta data'!$B$1/E174,0)</f>
        <v>15</v>
      </c>
      <c r="G174" s="107"/>
      <c r="H174" s="105" t="s">
        <v>1316</v>
      </c>
      <c r="I174" s="119" t="s">
        <v>6401</v>
      </c>
      <c r="J174" s="105" t="s">
        <v>1317</v>
      </c>
      <c r="K174" s="105" t="str">
        <f>IFERROR(__xludf.DUMMYFUNCTION("GOOGLETRANSLATE(J174,""he"",""en"")"),"Energy comprises milk chocolate coated cereal")</f>
        <v>Energy comprises milk chocolate coated cereal</v>
      </c>
      <c r="L174" s="104" t="s">
        <v>1321</v>
      </c>
      <c r="M174" s="105" t="s">
        <v>6321</v>
      </c>
      <c r="N174" s="108" t="s">
        <v>6322</v>
      </c>
      <c r="O174" s="109"/>
      <c r="P174" s="109"/>
      <c r="Q174" s="111" t="s">
        <v>1320</v>
      </c>
      <c r="R174" s="111"/>
      <c r="S174" s="11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13"/>
      <c r="AD174" s="113"/>
      <c r="AE174" s="113"/>
    </row>
    <row r="175">
      <c r="A175" s="114">
        <v>7.29011056593E12</v>
      </c>
      <c r="B175" s="104" t="str">
        <f t="shared" si="1"/>
        <v>energy_The bottom energy bars. milk</v>
      </c>
      <c r="C175" s="105">
        <v>0.135</v>
      </c>
      <c r="D175" s="105">
        <v>0.035</v>
      </c>
      <c r="E175" s="105">
        <v>0.02</v>
      </c>
      <c r="F175" s="106">
        <f>ROUND('Meta data'!$B$1/E175,0)</f>
        <v>15</v>
      </c>
      <c r="G175" s="107"/>
      <c r="H175" s="105" t="s">
        <v>1316</v>
      </c>
      <c r="I175" s="119" t="s">
        <v>6401</v>
      </c>
      <c r="J175" s="105" t="s">
        <v>1323</v>
      </c>
      <c r="K175" s="105" t="str">
        <f>IFERROR(__xludf.DUMMYFUNCTION("GOOGLETRANSLATE(J175,""he"",""en"")"),"The bottom energy bars. milk")</f>
        <v>The bottom energy bars. milk</v>
      </c>
      <c r="L175" s="104" t="s">
        <v>1327</v>
      </c>
      <c r="M175" s="105" t="s">
        <v>6321</v>
      </c>
      <c r="N175" s="108" t="s">
        <v>6322</v>
      </c>
      <c r="O175" s="109"/>
      <c r="P175" s="109"/>
      <c r="Q175" s="111" t="s">
        <v>1326</v>
      </c>
      <c r="R175" s="111"/>
      <c r="S175" s="112"/>
      <c r="T175" s="112"/>
      <c r="U175" s="118"/>
      <c r="V175" s="112"/>
      <c r="W175" s="102"/>
      <c r="X175" s="102"/>
      <c r="Y175" s="102"/>
      <c r="Z175" s="102"/>
      <c r="AA175" s="102"/>
      <c r="AB175" s="102"/>
      <c r="AC175" s="113"/>
      <c r="AD175" s="113"/>
      <c r="AE175" s="113"/>
    </row>
    <row r="176">
      <c r="A176" s="114">
        <v>7.290106527386E12</v>
      </c>
      <c r="B176" s="104" t="str">
        <f t="shared" si="1"/>
        <v>energy_Energy cakes coated with milk chocolate 70 g</v>
      </c>
      <c r="C176" s="105">
        <v>0.13</v>
      </c>
      <c r="D176" s="105">
        <v>0.18</v>
      </c>
      <c r="E176" s="105">
        <v>0.03</v>
      </c>
      <c r="F176" s="106">
        <f>ROUND('Meta data'!$B$1/E176,0)</f>
        <v>10</v>
      </c>
      <c r="G176" s="107"/>
      <c r="H176" s="105" t="s">
        <v>1308</v>
      </c>
      <c r="I176" s="119" t="s">
        <v>6401</v>
      </c>
      <c r="J176" s="105" t="s">
        <v>1300</v>
      </c>
      <c r="K176" s="105" t="str">
        <f>IFERROR(__xludf.DUMMYFUNCTION("GOOGLETRANSLATE(J176,""he"",""en"")"),"Energy cakes coated with milk chocolate 70 g")</f>
        <v>Energy cakes coated with milk chocolate 70 g</v>
      </c>
      <c r="L176" s="104" t="s">
        <v>1305</v>
      </c>
      <c r="M176" s="105" t="s">
        <v>6371</v>
      </c>
      <c r="N176" s="108" t="s">
        <v>6402</v>
      </c>
      <c r="O176" s="109"/>
      <c r="P176" s="109"/>
      <c r="Q176" s="115" t="s">
        <v>1304</v>
      </c>
      <c r="R176" s="120"/>
      <c r="S176" s="117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13"/>
      <c r="AD176" s="113"/>
      <c r="AE176" s="113"/>
    </row>
    <row r="177">
      <c r="A177" s="114">
        <v>8.410793282934E12</v>
      </c>
      <c r="B177" s="104" t="str">
        <f t="shared" si="1"/>
        <v>Estrella_Estrella Damm Bottle</v>
      </c>
      <c r="C177" s="105">
        <v>0.06</v>
      </c>
      <c r="D177" s="105">
        <v>0.228</v>
      </c>
      <c r="E177" s="105">
        <v>0.06</v>
      </c>
      <c r="F177" s="106">
        <f>ROUND('Meta data'!$B$1/E177,0)</f>
        <v>5</v>
      </c>
      <c r="G177" s="107"/>
      <c r="H177" s="105" t="s">
        <v>1336</v>
      </c>
      <c r="I177" s="105" t="str">
        <f>IFERROR(__xludf.DUMMYFUNCTION("GOOGLETRANSLATE(H177,""he"",""en"")"),"Estrella")</f>
        <v>Estrella</v>
      </c>
      <c r="J177" s="105" t="s">
        <v>1338</v>
      </c>
      <c r="K177" s="105" t="str">
        <f>IFERROR(__xludf.DUMMYFUNCTION("GOOGLETRANSLATE(J177,""he"",""en"")"),"Estrella Damm Bottle")</f>
        <v>Estrella Damm Bottle</v>
      </c>
      <c r="L177" s="104" t="s">
        <v>1342</v>
      </c>
      <c r="M177" s="105" t="s">
        <v>6332</v>
      </c>
      <c r="N177" s="108" t="s">
        <v>6338</v>
      </c>
      <c r="O177" s="109"/>
      <c r="P177" s="109"/>
      <c r="Q177" s="115" t="s">
        <v>1341</v>
      </c>
      <c r="R177" s="115"/>
      <c r="S177" s="117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13"/>
      <c r="AD177" s="113"/>
      <c r="AE177" s="113"/>
    </row>
    <row r="178">
      <c r="A178" s="114">
        <v>8.690526019178E12</v>
      </c>
      <c r="B178" s="104" t="str">
        <f t="shared" si="1"/>
        <v>ETI_Wafer chocolate coconut cream filling 142 g</v>
      </c>
      <c r="C178" s="105">
        <v>0.245</v>
      </c>
      <c r="D178" s="105">
        <v>0.085</v>
      </c>
      <c r="E178" s="105">
        <v>0.02</v>
      </c>
      <c r="F178" s="106">
        <f>ROUND('Meta data'!$B$1/E178,0)</f>
        <v>15</v>
      </c>
      <c r="G178" s="107"/>
      <c r="H178" s="122" t="s">
        <v>6403</v>
      </c>
      <c r="I178" s="105" t="str">
        <f>IFERROR(__xludf.DUMMYFUNCTION("GOOGLETRANSLATE(H178,""he"",""en"")"),"ETI")</f>
        <v>ETI</v>
      </c>
      <c r="J178" s="105" t="s">
        <v>4855</v>
      </c>
      <c r="K178" s="105" t="str">
        <f>IFERROR(__xludf.DUMMYFUNCTION("GOOGLETRANSLATE(J178,""he"",""en"")"),"Wafer chocolate coconut cream filling 142 g")</f>
        <v>Wafer chocolate coconut cream filling 142 g</v>
      </c>
      <c r="L178" s="104" t="s">
        <v>4859</v>
      </c>
      <c r="M178" s="105" t="s">
        <v>6388</v>
      </c>
      <c r="N178" s="108" t="s">
        <v>6389</v>
      </c>
      <c r="O178" s="109"/>
      <c r="P178" s="109"/>
      <c r="Q178" s="115" t="s">
        <v>4858</v>
      </c>
      <c r="R178" s="116"/>
      <c r="S178" s="117"/>
      <c r="T178" s="118"/>
      <c r="U178" s="117"/>
      <c r="V178" s="102"/>
      <c r="W178" s="102"/>
      <c r="X178" s="102"/>
      <c r="Y178" s="102"/>
      <c r="Z178" s="102"/>
      <c r="AA178" s="102"/>
      <c r="AB178" s="102"/>
      <c r="AC178" s="113"/>
      <c r="AD178" s="113"/>
      <c r="AE178" s="113"/>
    </row>
    <row r="179">
      <c r="A179" s="114">
        <v>8.690526019154E12</v>
      </c>
      <c r="B179" s="104" t="str">
        <f t="shared" si="1"/>
        <v>ETI_Wafer chocolate cocoa cream filling 142 g</v>
      </c>
      <c r="C179" s="105">
        <v>0.245</v>
      </c>
      <c r="D179" s="105">
        <v>0.085</v>
      </c>
      <c r="E179" s="105">
        <v>0.02</v>
      </c>
      <c r="F179" s="106">
        <f>ROUND('Meta data'!$B$1/E179,0)</f>
        <v>15</v>
      </c>
      <c r="G179" s="107"/>
      <c r="H179" s="122" t="s">
        <v>6403</v>
      </c>
      <c r="I179" s="105" t="str">
        <f>IFERROR(__xludf.DUMMYFUNCTION("GOOGLETRANSLATE(H179,""he"",""en"")"),"ETI")</f>
        <v>ETI</v>
      </c>
      <c r="J179" s="105" t="s">
        <v>4849</v>
      </c>
      <c r="K179" s="105" t="str">
        <f>IFERROR(__xludf.DUMMYFUNCTION("GOOGLETRANSLATE(J179,""he"",""en"")"),"Wafer chocolate cocoa cream filling 142 g")</f>
        <v>Wafer chocolate cocoa cream filling 142 g</v>
      </c>
      <c r="L179" s="104" t="s">
        <v>4853</v>
      </c>
      <c r="M179" s="105" t="s">
        <v>6388</v>
      </c>
      <c r="N179" s="108" t="s">
        <v>6389</v>
      </c>
      <c r="O179" s="109"/>
      <c r="P179" s="109"/>
      <c r="Q179" s="115" t="s">
        <v>4852</v>
      </c>
      <c r="R179" s="116"/>
      <c r="S179" s="117"/>
      <c r="T179" s="117"/>
      <c r="U179" s="118"/>
      <c r="V179" s="102"/>
      <c r="W179" s="102"/>
      <c r="X179" s="102"/>
      <c r="Y179" s="102"/>
      <c r="Z179" s="102"/>
      <c r="AA179" s="102"/>
      <c r="AB179" s="102"/>
      <c r="AC179" s="113"/>
      <c r="AD179" s="113"/>
      <c r="AE179" s="113"/>
    </row>
    <row r="180">
      <c r="A180" s="114">
        <v>8.690526009179E12</v>
      </c>
      <c r="B180" s="104" t="str">
        <f t="shared" si="1"/>
        <v>ETI_Wafer chocolate coconut cream filling 40 g</v>
      </c>
      <c r="C180" s="105">
        <v>0.11</v>
      </c>
      <c r="D180" s="105">
        <v>0.055</v>
      </c>
      <c r="E180" s="105">
        <v>0.02</v>
      </c>
      <c r="F180" s="106">
        <f>ROUND('Meta data'!$B$1/E180,0)</f>
        <v>15</v>
      </c>
      <c r="G180" s="107"/>
      <c r="H180" s="122" t="s">
        <v>6403</v>
      </c>
      <c r="I180" s="105" t="str">
        <f>IFERROR(__xludf.DUMMYFUNCTION("GOOGLETRANSLATE(H180,""he"",""en"")"),"ETI")</f>
        <v>ETI</v>
      </c>
      <c r="J180" s="105" t="s">
        <v>4861</v>
      </c>
      <c r="K180" s="105" t="str">
        <f>IFERROR(__xludf.DUMMYFUNCTION("GOOGLETRANSLATE(J180,""he"",""en"")"),"Wafer chocolate coconut cream filling 40 g")</f>
        <v>Wafer chocolate coconut cream filling 40 g</v>
      </c>
      <c r="L180" s="104" t="s">
        <v>4865</v>
      </c>
      <c r="M180" s="105" t="s">
        <v>6302</v>
      </c>
      <c r="N180" s="108" t="s">
        <v>6303</v>
      </c>
      <c r="O180" s="109"/>
      <c r="P180" s="109"/>
      <c r="Q180" s="115" t="s">
        <v>4864</v>
      </c>
      <c r="R180" s="116"/>
      <c r="S180" s="117"/>
      <c r="T180" s="118"/>
      <c r="U180" s="117"/>
      <c r="V180" s="102"/>
      <c r="W180" s="102"/>
      <c r="X180" s="102"/>
      <c r="Y180" s="102"/>
      <c r="Z180" s="102"/>
      <c r="AA180" s="102"/>
      <c r="AB180" s="102"/>
      <c r="AC180" s="113"/>
      <c r="AD180" s="113"/>
      <c r="AE180" s="113"/>
    </row>
    <row r="181">
      <c r="A181" s="114">
        <v>8.690526009292E12</v>
      </c>
      <c r="B181" s="104" t="str">
        <f t="shared" si="1"/>
        <v>ETI_ETI snack nougat 28 g</v>
      </c>
      <c r="C181" s="105">
        <v>0.11</v>
      </c>
      <c r="D181" s="105">
        <v>0.045</v>
      </c>
      <c r="E181" s="105">
        <v>0.02</v>
      </c>
      <c r="F181" s="106">
        <f>ROUND('Meta data'!$B$1/E181,0)</f>
        <v>15</v>
      </c>
      <c r="G181" s="107"/>
      <c r="H181" s="122" t="s">
        <v>6403</v>
      </c>
      <c r="I181" s="105" t="str">
        <f>IFERROR(__xludf.DUMMYFUNCTION("GOOGLETRANSLATE(H181,""he"",""en"")"),"ETI")</f>
        <v>ETI</v>
      </c>
      <c r="J181" s="105" t="s">
        <v>4830</v>
      </c>
      <c r="K181" s="105" t="str">
        <f>IFERROR(__xludf.DUMMYFUNCTION("GOOGLETRANSLATE(J181,""he"",""en"")"),"ETI snack nougat 28 g")</f>
        <v>ETI snack nougat 28 g</v>
      </c>
      <c r="L181" s="104" t="s">
        <v>4834</v>
      </c>
      <c r="M181" s="105" t="s">
        <v>6302</v>
      </c>
      <c r="N181" s="108" t="s">
        <v>6303</v>
      </c>
      <c r="O181" s="109"/>
      <c r="P181" s="109"/>
      <c r="Q181" s="126" t="s">
        <v>4833</v>
      </c>
      <c r="R181" s="101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13"/>
      <c r="AD181" s="113"/>
      <c r="AE181" s="113"/>
    </row>
    <row r="182">
      <c r="A182" s="114">
        <v>8.690526009216E12</v>
      </c>
      <c r="B182" s="104" t="str">
        <f t="shared" si="1"/>
        <v>ETI_Coconut cookies ETI 44.5 g</v>
      </c>
      <c r="C182" s="105">
        <v>0.04</v>
      </c>
      <c r="D182" s="105">
        <v>0.115</v>
      </c>
      <c r="E182" s="105">
        <v>0.03</v>
      </c>
      <c r="F182" s="106">
        <f>ROUND('Meta data'!$B$1/E182,0)</f>
        <v>10</v>
      </c>
      <c r="G182" s="107"/>
      <c r="H182" s="122" t="s">
        <v>6403</v>
      </c>
      <c r="I182" s="105" t="str">
        <f>IFERROR(__xludf.DUMMYFUNCTION("GOOGLETRANSLATE(H182,""he"",""en"")"),"ETI")</f>
        <v>ETI</v>
      </c>
      <c r="J182" s="105" t="s">
        <v>4823</v>
      </c>
      <c r="K182" s="105" t="str">
        <f>IFERROR(__xludf.DUMMYFUNCTION("GOOGLETRANSLATE(J182,""he"",""en"")"),"Coconut cookies ETI 44.5 g")</f>
        <v>Coconut cookies ETI 44.5 g</v>
      </c>
      <c r="L182" s="104" t="s">
        <v>4827</v>
      </c>
      <c r="M182" s="105" t="s">
        <v>6302</v>
      </c>
      <c r="N182" s="108" t="s">
        <v>6303</v>
      </c>
      <c r="O182" s="109"/>
      <c r="P182" s="109"/>
      <c r="Q182" s="111" t="s">
        <v>4826</v>
      </c>
      <c r="R182" s="101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13"/>
      <c r="AD182" s="113"/>
      <c r="AE182" s="113"/>
    </row>
    <row r="183">
      <c r="A183" s="114">
        <v>8.690526009315E12</v>
      </c>
      <c r="B183" s="104" t="str">
        <f t="shared" si="1"/>
        <v>ETI_Excellent milk chocolate with hazelnuts 70g</v>
      </c>
      <c r="C183" s="105">
        <v>0.085</v>
      </c>
      <c r="D183" s="105">
        <v>0.087</v>
      </c>
      <c r="E183" s="105">
        <v>0.01</v>
      </c>
      <c r="F183" s="106">
        <f>ROUND('Meta data'!$B$1/E183,0)</f>
        <v>30</v>
      </c>
      <c r="G183" s="107"/>
      <c r="H183" s="122" t="s">
        <v>6403</v>
      </c>
      <c r="I183" s="105" t="str">
        <f>IFERROR(__xludf.DUMMYFUNCTION("GOOGLETRANSLATE(H183,""he"",""en"")"),"ETI")</f>
        <v>ETI</v>
      </c>
      <c r="J183" s="105" t="s">
        <v>4836</v>
      </c>
      <c r="K183" s="105" t="str">
        <f>IFERROR(__xludf.DUMMYFUNCTION("GOOGLETRANSLATE(J183,""he"",""en"")"),"Excellent milk chocolate with hazelnuts 70g")</f>
        <v>Excellent milk chocolate with hazelnuts 70g</v>
      </c>
      <c r="L183" s="104" t="s">
        <v>4840</v>
      </c>
      <c r="M183" s="105" t="s">
        <v>6404</v>
      </c>
      <c r="N183" s="108" t="s">
        <v>6405</v>
      </c>
      <c r="O183" s="109"/>
      <c r="P183" s="109"/>
      <c r="Q183" s="115" t="s">
        <v>4839</v>
      </c>
      <c r="R183" s="116"/>
      <c r="S183" s="117"/>
      <c r="T183" s="117"/>
      <c r="U183" s="118"/>
      <c r="V183" s="117"/>
      <c r="W183" s="102"/>
      <c r="X183" s="102"/>
      <c r="Y183" s="102"/>
      <c r="Z183" s="102"/>
      <c r="AA183" s="102"/>
      <c r="AB183" s="102"/>
      <c r="AC183" s="113"/>
      <c r="AD183" s="113"/>
      <c r="AE183" s="113"/>
    </row>
    <row r="184">
      <c r="A184" s="114">
        <v>8.690526009339E12</v>
      </c>
      <c r="B184" s="104" t="str">
        <f t="shared" si="1"/>
        <v>ETI_Excellent milk chocolate with pistachios 70g</v>
      </c>
      <c r="C184" s="105">
        <v>0.085</v>
      </c>
      <c r="D184" s="105">
        <v>0.087</v>
      </c>
      <c r="E184" s="105">
        <v>0.01</v>
      </c>
      <c r="F184" s="106">
        <f>ROUND('Meta data'!$B$1/E184,0)</f>
        <v>30</v>
      </c>
      <c r="G184" s="107"/>
      <c r="H184" s="122" t="s">
        <v>6403</v>
      </c>
      <c r="I184" s="105" t="str">
        <f>IFERROR(__xludf.DUMMYFUNCTION("GOOGLETRANSLATE(H184,""he"",""en"")"),"ETI")</f>
        <v>ETI</v>
      </c>
      <c r="J184" s="105" t="s">
        <v>4843</v>
      </c>
      <c r="K184" s="105" t="str">
        <f>IFERROR(__xludf.DUMMYFUNCTION("GOOGLETRANSLATE(J184,""he"",""en"")"),"Excellent milk chocolate with pistachios 70g")</f>
        <v>Excellent milk chocolate with pistachios 70g</v>
      </c>
      <c r="L184" s="104" t="s">
        <v>4847</v>
      </c>
      <c r="M184" s="105" t="s">
        <v>6404</v>
      </c>
      <c r="N184" s="108" t="s">
        <v>6405</v>
      </c>
      <c r="O184" s="109"/>
      <c r="P184" s="109"/>
      <c r="Q184" s="115" t="s">
        <v>4846</v>
      </c>
      <c r="R184" s="116"/>
      <c r="S184" s="124"/>
      <c r="T184" s="118"/>
      <c r="U184" s="117"/>
      <c r="V184" s="102"/>
      <c r="W184" s="102"/>
      <c r="X184" s="102"/>
      <c r="Y184" s="102"/>
      <c r="Z184" s="102"/>
      <c r="AA184" s="102"/>
      <c r="AB184" s="102"/>
      <c r="AC184" s="113"/>
      <c r="AD184" s="113"/>
      <c r="AE184" s="113"/>
    </row>
    <row r="185">
      <c r="A185" s="114">
        <v>8.006290803514E12</v>
      </c>
      <c r="B185" s="104" t="str">
        <f t="shared" si="1"/>
        <v>Ferrarelle_Ferrarelle 330 ml</v>
      </c>
      <c r="C185" s="105">
        <v>0.055</v>
      </c>
      <c r="D185" s="105">
        <v>0.21</v>
      </c>
      <c r="E185" s="105">
        <v>0.055</v>
      </c>
      <c r="F185" s="106">
        <f>ROUND('Meta data'!$B$1/E185,0)</f>
        <v>5</v>
      </c>
      <c r="G185" s="107"/>
      <c r="H185" s="122" t="s">
        <v>1382</v>
      </c>
      <c r="I185" s="105" t="str">
        <f>IFERROR(__xludf.DUMMYFUNCTION("GOOGLETRANSLATE(H185,""he"",""en"")"),"Ferrarelle")</f>
        <v>Ferrarelle</v>
      </c>
      <c r="J185" s="122" t="s">
        <v>1383</v>
      </c>
      <c r="K185" s="105" t="str">
        <f>IFERROR(__xludf.DUMMYFUNCTION("GOOGLETRANSLATE(J185,""he"",""en"")"),"Ferrarelle 330 ml")</f>
        <v>Ferrarelle 330 ml</v>
      </c>
      <c r="L185" s="104" t="s">
        <v>1388</v>
      </c>
      <c r="M185" s="105" t="s">
        <v>6406</v>
      </c>
      <c r="N185" s="108" t="s">
        <v>6407</v>
      </c>
      <c r="O185" s="109"/>
      <c r="P185" s="109"/>
      <c r="Q185" s="115" t="s">
        <v>1387</v>
      </c>
      <c r="R185" s="116"/>
      <c r="S185" s="117"/>
      <c r="T185" s="117"/>
      <c r="U185" s="118"/>
      <c r="V185" s="117"/>
      <c r="W185" s="102"/>
      <c r="X185" s="102"/>
      <c r="Y185" s="102"/>
      <c r="Z185" s="102"/>
      <c r="AA185" s="102"/>
      <c r="AB185" s="102"/>
      <c r="AC185" s="113"/>
      <c r="AD185" s="113"/>
      <c r="AE185" s="113"/>
    </row>
    <row r="186">
      <c r="A186" s="114">
        <v>7.29011296566E12</v>
      </c>
      <c r="B186" s="104" t="str">
        <f t="shared" si="1"/>
        <v>Fitness_Fitness pepper salt snack Moltigriin 24 * 25 C.</v>
      </c>
      <c r="C186" s="105">
        <v>0.15</v>
      </c>
      <c r="D186" s="105">
        <v>0.175</v>
      </c>
      <c r="E186" s="105">
        <v>0.03</v>
      </c>
      <c r="F186" s="106">
        <f>ROUND('Meta data'!$B$1/E186,0)</f>
        <v>10</v>
      </c>
      <c r="G186" s="107"/>
      <c r="H186" s="105" t="s">
        <v>1390</v>
      </c>
      <c r="I186" s="105" t="str">
        <f>IFERROR(__xludf.DUMMYFUNCTION("GOOGLETRANSLATE(H186,""he"",""en"")"),"Fitness")</f>
        <v>Fitness</v>
      </c>
      <c r="J186" s="105" t="s">
        <v>1392</v>
      </c>
      <c r="K186" s="105" t="str">
        <f>IFERROR(__xludf.DUMMYFUNCTION("GOOGLETRANSLATE(J186,""he"",""en"")"),"Fitness pepper salt snack Moltigriin 24 * 25 C.")</f>
        <v>Fitness pepper salt snack Moltigriin 24 * 25 C.</v>
      </c>
      <c r="L186" s="104" t="s">
        <v>1394</v>
      </c>
      <c r="M186" s="105" t="s">
        <v>6309</v>
      </c>
      <c r="N186" s="108" t="s">
        <v>6400</v>
      </c>
      <c r="O186" s="109"/>
      <c r="P186" s="109"/>
      <c r="Q186" s="115" t="s">
        <v>1396</v>
      </c>
      <c r="R186" s="116"/>
      <c r="S186" s="117"/>
      <c r="T186" s="117"/>
      <c r="U186" s="102"/>
      <c r="V186" s="102"/>
      <c r="W186" s="102"/>
      <c r="X186" s="102"/>
      <c r="Y186" s="102"/>
      <c r="Z186" s="102"/>
      <c r="AA186" s="102"/>
      <c r="AB186" s="102"/>
      <c r="AC186" s="113"/>
      <c r="AD186" s="113"/>
      <c r="AE186" s="113"/>
    </row>
    <row r="187">
      <c r="A187" s="114">
        <v>7.290112965684E12</v>
      </c>
      <c r="B187" s="104" t="str">
        <f t="shared" si="1"/>
        <v>Fitness_Fitness snack Moltigriin A.tibol 24 * 25 C.</v>
      </c>
      <c r="C187" s="105">
        <v>0.15</v>
      </c>
      <c r="D187" s="105">
        <v>0.175</v>
      </c>
      <c r="E187" s="105">
        <v>0.03</v>
      </c>
      <c r="F187" s="106">
        <f>ROUND('Meta data'!$B$1/E187,0)</f>
        <v>10</v>
      </c>
      <c r="G187" s="107"/>
      <c r="H187" s="105" t="s">
        <v>1390</v>
      </c>
      <c r="I187" s="105" t="str">
        <f>IFERROR(__xludf.DUMMYFUNCTION("GOOGLETRANSLATE(H187,""he"",""en"")"),"Fitness")</f>
        <v>Fitness</v>
      </c>
      <c r="J187" s="105" t="s">
        <v>1403</v>
      </c>
      <c r="K187" s="105" t="str">
        <f>IFERROR(__xludf.DUMMYFUNCTION("GOOGLETRANSLATE(J187,""he"",""en"")"),"Fitness snack Moltigriin A.tibol 24 * 25 C.")</f>
        <v>Fitness snack Moltigriin A.tibol 24 * 25 C.</v>
      </c>
      <c r="L187" s="104" t="s">
        <v>1405</v>
      </c>
      <c r="M187" s="105" t="s">
        <v>6309</v>
      </c>
      <c r="N187" s="108" t="s">
        <v>6400</v>
      </c>
      <c r="O187" s="109"/>
      <c r="P187" s="109"/>
      <c r="Q187" s="115" t="s">
        <v>1406</v>
      </c>
      <c r="R187" s="116"/>
      <c r="S187" s="117"/>
      <c r="T187" s="117"/>
      <c r="U187" s="102"/>
      <c r="V187" s="102"/>
      <c r="W187" s="102"/>
      <c r="X187" s="102"/>
      <c r="Y187" s="102"/>
      <c r="Z187" s="102"/>
      <c r="AA187" s="102"/>
      <c r="AB187" s="102"/>
      <c r="AC187" s="113"/>
      <c r="AD187" s="113"/>
      <c r="AE187" s="113"/>
    </row>
    <row r="188">
      <c r="A188" s="114">
        <v>7.290112965707E12</v>
      </c>
      <c r="B188" s="104" t="str">
        <f t="shared" si="1"/>
        <v>Fitness_Fitness refined chili snack Moltigriin 24 * 25 C.</v>
      </c>
      <c r="C188" s="105">
        <v>0.15</v>
      </c>
      <c r="D188" s="105">
        <v>0.175</v>
      </c>
      <c r="E188" s="105">
        <v>0.03</v>
      </c>
      <c r="F188" s="106">
        <f>ROUND('Meta data'!$B$1/E188,0)</f>
        <v>10</v>
      </c>
      <c r="G188" s="107"/>
      <c r="H188" s="105" t="s">
        <v>1390</v>
      </c>
      <c r="I188" s="105" t="str">
        <f>IFERROR(__xludf.DUMMYFUNCTION("GOOGLETRANSLATE(H188,""he"",""en"")"),"Fitness")</f>
        <v>Fitness</v>
      </c>
      <c r="J188" s="105" t="s">
        <v>1398</v>
      </c>
      <c r="K188" s="105" t="str">
        <f>IFERROR(__xludf.DUMMYFUNCTION("GOOGLETRANSLATE(J188,""he"",""en"")"),"Fitness refined chili snack Moltigriin 24 * 25 C.")</f>
        <v>Fitness refined chili snack Moltigriin 24 * 25 C.</v>
      </c>
      <c r="L188" s="104" t="s">
        <v>1400</v>
      </c>
      <c r="M188" s="105" t="s">
        <v>6309</v>
      </c>
      <c r="N188" s="108" t="s">
        <v>6400</v>
      </c>
      <c r="O188" s="109"/>
      <c r="P188" s="109"/>
      <c r="Q188" s="115" t="s">
        <v>1401</v>
      </c>
      <c r="R188" s="116"/>
      <c r="S188" s="117"/>
      <c r="T188" s="118"/>
      <c r="U188" s="117"/>
      <c r="V188" s="102"/>
      <c r="W188" s="102"/>
      <c r="X188" s="102"/>
      <c r="Y188" s="102"/>
      <c r="Z188" s="102"/>
      <c r="AA188" s="102"/>
      <c r="AB188" s="102"/>
      <c r="AC188" s="113"/>
      <c r="AD188" s="113"/>
      <c r="AE188" s="113"/>
    </row>
    <row r="189">
      <c r="A189" s="114">
        <v>7.290018440193E12</v>
      </c>
      <c r="B189" s="104" t="str">
        <f t="shared" si="1"/>
        <v>Flifz_Flifz coated peanut butter pretzels 140 C.</v>
      </c>
      <c r="C189" s="105">
        <v>0.18</v>
      </c>
      <c r="D189" s="105">
        <v>0.215</v>
      </c>
      <c r="E189" s="105">
        <v>0.04</v>
      </c>
      <c r="F189" s="106">
        <f>ROUND('Meta data'!$B$1/E189,0)</f>
        <v>8</v>
      </c>
      <c r="G189" s="107"/>
      <c r="H189" s="105" t="s">
        <v>1408</v>
      </c>
      <c r="I189" s="105" t="str">
        <f>IFERROR(__xludf.DUMMYFUNCTION("GOOGLETRANSLATE(H189,""he"",""en"")"),"Flifz")</f>
        <v>Flifz</v>
      </c>
      <c r="J189" s="105" t="s">
        <v>1410</v>
      </c>
      <c r="K189" s="105" t="str">
        <f>IFERROR(__xludf.DUMMYFUNCTION("GOOGLETRANSLATE(J189,""he"",""en"")"),"Flifz coated peanut butter pretzels 140 C.")</f>
        <v>Flifz coated peanut butter pretzels 140 C.</v>
      </c>
      <c r="L189" s="104" t="s">
        <v>1412</v>
      </c>
      <c r="M189" s="105" t="s">
        <v>6408</v>
      </c>
      <c r="N189" s="108" t="s">
        <v>6409</v>
      </c>
      <c r="O189" s="109"/>
      <c r="P189" s="109"/>
      <c r="Q189" s="115" t="s">
        <v>1415</v>
      </c>
      <c r="R189" s="116"/>
      <c r="S189" s="117"/>
      <c r="T189" s="118"/>
      <c r="U189" s="117"/>
      <c r="V189" s="102"/>
      <c r="W189" s="102"/>
      <c r="X189" s="102"/>
      <c r="Y189" s="102"/>
      <c r="Z189" s="102"/>
      <c r="AA189" s="102"/>
      <c r="AB189" s="102"/>
      <c r="AC189" s="113"/>
      <c r="AD189" s="113"/>
      <c r="AE189" s="113"/>
    </row>
    <row r="190">
      <c r="A190" s="114">
        <v>7.290018440209E12</v>
      </c>
      <c r="B190" s="104" t="str">
        <f t="shared" si="1"/>
        <v>Flifz_Flifz white fudge coated pretzels 140 C.</v>
      </c>
      <c r="C190" s="105">
        <v>0.18</v>
      </c>
      <c r="D190" s="105">
        <v>0.215</v>
      </c>
      <c r="E190" s="105">
        <v>0.04</v>
      </c>
      <c r="F190" s="106">
        <f>ROUND('Meta data'!$B$1/E190,0)</f>
        <v>8</v>
      </c>
      <c r="G190" s="107"/>
      <c r="H190" s="105" t="s">
        <v>1408</v>
      </c>
      <c r="I190" s="105" t="str">
        <f>IFERROR(__xludf.DUMMYFUNCTION("GOOGLETRANSLATE(H190,""he"",""en"")"),"Flifz")</f>
        <v>Flifz</v>
      </c>
      <c r="J190" s="105" t="s">
        <v>1423</v>
      </c>
      <c r="K190" s="105" t="str">
        <f>IFERROR(__xludf.DUMMYFUNCTION("GOOGLETRANSLATE(J190,""he"",""en"")"),"Flifz white fudge coated pretzels 140 C.")</f>
        <v>Flifz white fudge coated pretzels 140 C.</v>
      </c>
      <c r="L190" s="104" t="s">
        <v>1425</v>
      </c>
      <c r="M190" s="105" t="s">
        <v>6408</v>
      </c>
      <c r="N190" s="108" t="s">
        <v>6409</v>
      </c>
      <c r="O190" s="109"/>
      <c r="P190" s="109"/>
      <c r="Q190" s="115" t="s">
        <v>1426</v>
      </c>
      <c r="R190" s="116"/>
      <c r="S190" s="118"/>
      <c r="T190" s="117"/>
      <c r="U190" s="102"/>
      <c r="V190" s="102"/>
      <c r="W190" s="102"/>
      <c r="X190" s="102"/>
      <c r="Y190" s="102"/>
      <c r="Z190" s="102"/>
      <c r="AA190" s="102"/>
      <c r="AB190" s="102"/>
      <c r="AC190" s="113"/>
      <c r="AD190" s="113"/>
      <c r="AE190" s="113"/>
    </row>
    <row r="191">
      <c r="A191" s="114">
        <v>7.290017513775E12</v>
      </c>
      <c r="B191" s="104" t="str">
        <f t="shared" si="1"/>
        <v>Flifz_Flifz milk chocolate covered pretzels 140 C.</v>
      </c>
      <c r="C191" s="105">
        <v>0.175</v>
      </c>
      <c r="D191" s="105">
        <v>0.215</v>
      </c>
      <c r="E191" s="105">
        <v>0.04</v>
      </c>
      <c r="F191" s="106">
        <f>ROUND('Meta data'!$B$1/E191,0)</f>
        <v>8</v>
      </c>
      <c r="G191" s="107"/>
      <c r="H191" s="105" t="s">
        <v>1408</v>
      </c>
      <c r="I191" s="105" t="str">
        <f>IFERROR(__xludf.DUMMYFUNCTION("GOOGLETRANSLATE(H191,""he"",""en"")"),"Flifz")</f>
        <v>Flifz</v>
      </c>
      <c r="J191" s="105" t="s">
        <v>1418</v>
      </c>
      <c r="K191" s="105" t="str">
        <f>IFERROR(__xludf.DUMMYFUNCTION("GOOGLETRANSLATE(J191,""he"",""en"")"),"Flifz milk chocolate covered pretzels 140 C.")</f>
        <v>Flifz milk chocolate covered pretzels 140 C.</v>
      </c>
      <c r="L191" s="104" t="s">
        <v>1420</v>
      </c>
      <c r="M191" s="105" t="s">
        <v>6408</v>
      </c>
      <c r="N191" s="108" t="s">
        <v>6409</v>
      </c>
      <c r="O191" s="109"/>
      <c r="P191" s="109"/>
      <c r="Q191" s="115" t="s">
        <v>1421</v>
      </c>
      <c r="R191" s="116"/>
      <c r="S191" s="118"/>
      <c r="T191" s="117"/>
      <c r="U191" s="102"/>
      <c r="V191" s="102"/>
      <c r="W191" s="102"/>
      <c r="X191" s="102"/>
      <c r="Y191" s="102"/>
      <c r="Z191" s="102"/>
      <c r="AA191" s="102"/>
      <c r="AB191" s="102"/>
      <c r="AC191" s="113"/>
      <c r="AD191" s="113"/>
      <c r="AE191" s="113"/>
    </row>
    <row r="192">
      <c r="A192" s="114">
        <v>7.290112349347E12</v>
      </c>
      <c r="B192" s="104" t="str">
        <f t="shared" si="1"/>
        <v>FRESH_Sugar free candy mint flavor</v>
      </c>
      <c r="C192" s="105">
        <v>0.06</v>
      </c>
      <c r="D192" s="105">
        <v>0.06</v>
      </c>
      <c r="E192" s="105">
        <v>0.015</v>
      </c>
      <c r="F192" s="106">
        <f>ROUND('Meta data'!$B$1/E192,0)</f>
        <v>20</v>
      </c>
      <c r="G192" s="107"/>
      <c r="H192" s="122" t="s">
        <v>1429</v>
      </c>
      <c r="I192" s="105" t="str">
        <f>IFERROR(__xludf.DUMMYFUNCTION("GOOGLETRANSLATE(H192,""he"",""en"")"),"FRESH")</f>
        <v>FRESH</v>
      </c>
      <c r="J192" s="105" t="s">
        <v>1466</v>
      </c>
      <c r="K192" s="105" t="str">
        <f>IFERROR(__xludf.DUMMYFUNCTION("GOOGLETRANSLATE(J192,""he"",""en"")"),"Sugar free candy mint flavor")</f>
        <v>Sugar free candy mint flavor</v>
      </c>
      <c r="L192" s="104" t="s">
        <v>1470</v>
      </c>
      <c r="M192" s="105" t="s">
        <v>6410</v>
      </c>
      <c r="N192" s="108" t="s">
        <v>6411</v>
      </c>
      <c r="O192" s="109"/>
      <c r="P192" s="109"/>
      <c r="Q192" s="115" t="s">
        <v>1469</v>
      </c>
      <c r="R192" s="116"/>
      <c r="S192" s="117"/>
      <c r="T192" s="118"/>
      <c r="U192" s="117"/>
      <c r="V192" s="102"/>
      <c r="W192" s="102"/>
      <c r="X192" s="102"/>
      <c r="Y192" s="102"/>
      <c r="Z192" s="102"/>
      <c r="AA192" s="102"/>
      <c r="AB192" s="102"/>
      <c r="AC192" s="113"/>
      <c r="AD192" s="113"/>
      <c r="AE192" s="113"/>
    </row>
    <row r="193">
      <c r="A193" s="114">
        <v>7.290112349354E12</v>
      </c>
      <c r="B193" s="104" t="str">
        <f t="shared" si="1"/>
        <v>FRESH_Candy Raspberry flavored sugar-free lemon</v>
      </c>
      <c r="C193" s="105">
        <v>0.06</v>
      </c>
      <c r="D193" s="105">
        <v>0.06</v>
      </c>
      <c r="E193" s="105">
        <v>0.015</v>
      </c>
      <c r="F193" s="106">
        <f>ROUND('Meta data'!$B$1/E193,0)</f>
        <v>20</v>
      </c>
      <c r="G193" s="107"/>
      <c r="H193" s="122" t="s">
        <v>1429</v>
      </c>
      <c r="I193" s="105" t="str">
        <f>IFERROR(__xludf.DUMMYFUNCTION("GOOGLETRANSLATE(H193,""he"",""en"")"),"FRESH")</f>
        <v>FRESH</v>
      </c>
      <c r="J193" s="105" t="s">
        <v>1430</v>
      </c>
      <c r="K193" s="105" t="str">
        <f>IFERROR(__xludf.DUMMYFUNCTION("GOOGLETRANSLATE(J193,""he"",""en"")"),"Candy Raspberry flavored sugar-free lemon")</f>
        <v>Candy Raspberry flavored sugar-free lemon</v>
      </c>
      <c r="L193" s="104" t="s">
        <v>1436</v>
      </c>
      <c r="M193" s="105" t="s">
        <v>6410</v>
      </c>
      <c r="N193" s="108" t="s">
        <v>6411</v>
      </c>
      <c r="O193" s="109"/>
      <c r="P193" s="109"/>
      <c r="Q193" s="115" t="s">
        <v>1435</v>
      </c>
      <c r="R193" s="116"/>
      <c r="S193" s="117"/>
      <c r="T193" s="117"/>
      <c r="U193" s="102"/>
      <c r="V193" s="102"/>
      <c r="W193" s="102"/>
      <c r="X193" s="102"/>
      <c r="Y193" s="102"/>
      <c r="Z193" s="102"/>
      <c r="AA193" s="102"/>
      <c r="AB193" s="102"/>
      <c r="AC193" s="113"/>
      <c r="AD193" s="113"/>
      <c r="AE193" s="113"/>
    </row>
    <row r="194">
      <c r="A194" s="114">
        <v>7.290112349378E12</v>
      </c>
      <c r="B194" s="104" t="str">
        <f t="shared" si="1"/>
        <v>FRESH_Candy strawberry-flavored sugar-free pomegranate</v>
      </c>
      <c r="C194" s="105">
        <v>0.06</v>
      </c>
      <c r="D194" s="105">
        <v>0.06</v>
      </c>
      <c r="E194" s="105">
        <v>0.015</v>
      </c>
      <c r="F194" s="106">
        <f>ROUND('Meta data'!$B$1/E194,0)</f>
        <v>20</v>
      </c>
      <c r="G194" s="107"/>
      <c r="H194" s="122" t="s">
        <v>1429</v>
      </c>
      <c r="I194" s="105" t="str">
        <f>IFERROR(__xludf.DUMMYFUNCTION("GOOGLETRANSLATE(H194,""he"",""en"")"),"FRESH")</f>
        <v>FRESH</v>
      </c>
      <c r="J194" s="105" t="s">
        <v>1439</v>
      </c>
      <c r="K194" s="105" t="str">
        <f>IFERROR(__xludf.DUMMYFUNCTION("GOOGLETRANSLATE(J194,""he"",""en"")"),"Candy strawberry-flavored sugar-free pomegranate")</f>
        <v>Candy strawberry-flavored sugar-free pomegranate</v>
      </c>
      <c r="L194" s="104" t="s">
        <v>1443</v>
      </c>
      <c r="M194" s="105" t="s">
        <v>6410</v>
      </c>
      <c r="N194" s="108" t="s">
        <v>6411</v>
      </c>
      <c r="O194" s="109"/>
      <c r="P194" s="109"/>
      <c r="Q194" s="115" t="s">
        <v>1442</v>
      </c>
      <c r="R194" s="116"/>
      <c r="S194" s="117"/>
      <c r="T194" s="117"/>
      <c r="U194" s="102"/>
      <c r="V194" s="102"/>
      <c r="W194" s="102"/>
      <c r="X194" s="102"/>
      <c r="Y194" s="102"/>
      <c r="Z194" s="102"/>
      <c r="AA194" s="102"/>
      <c r="AB194" s="102"/>
      <c r="AC194" s="113"/>
      <c r="AD194" s="113"/>
      <c r="AE194" s="113"/>
    </row>
    <row r="195">
      <c r="A195" s="114">
        <v>6.928542902795E12</v>
      </c>
      <c r="B195" s="104" t="str">
        <f t="shared" si="1"/>
        <v>Fresh_Fresh blue refresh pages</v>
      </c>
      <c r="C195" s="105">
        <v>0.08</v>
      </c>
      <c r="D195" s="105">
        <v>0.08</v>
      </c>
      <c r="E195" s="105">
        <v>0.01</v>
      </c>
      <c r="F195" s="106">
        <f>ROUND('Meta data'!$B$1/E195,0)</f>
        <v>30</v>
      </c>
      <c r="G195" s="107"/>
      <c r="H195" s="105" t="s">
        <v>1428</v>
      </c>
      <c r="I195" s="119" t="s">
        <v>1445</v>
      </c>
      <c r="J195" s="105" t="s">
        <v>1447</v>
      </c>
      <c r="K195" s="119" t="s">
        <v>6412</v>
      </c>
      <c r="L195" s="104" t="s">
        <v>1452</v>
      </c>
      <c r="M195" s="105" t="s">
        <v>6410</v>
      </c>
      <c r="N195" s="108" t="s">
        <v>6413</v>
      </c>
      <c r="O195" s="109"/>
      <c r="P195" s="109"/>
      <c r="Q195" s="115" t="s">
        <v>1451</v>
      </c>
      <c r="R195" s="116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13"/>
      <c r="AD195" s="113"/>
      <c r="AE195" s="113"/>
    </row>
    <row r="196">
      <c r="A196" s="114">
        <v>6.928542902801E12</v>
      </c>
      <c r="B196" s="104" t="str">
        <f t="shared" si="1"/>
        <v>Fresh_Spread green mint refreshment pages</v>
      </c>
      <c r="C196" s="105">
        <v>0.08</v>
      </c>
      <c r="D196" s="105">
        <v>0.08</v>
      </c>
      <c r="E196" s="105">
        <v>0.01</v>
      </c>
      <c r="F196" s="106">
        <f>ROUND('Meta data'!$B$1/E196,0)</f>
        <v>30</v>
      </c>
      <c r="G196" s="107"/>
      <c r="H196" s="105" t="s">
        <v>1428</v>
      </c>
      <c r="I196" s="119" t="s">
        <v>1445</v>
      </c>
      <c r="J196" s="105" t="s">
        <v>1460</v>
      </c>
      <c r="K196" s="105" t="s">
        <v>1461</v>
      </c>
      <c r="L196" s="104" t="s">
        <v>1464</v>
      </c>
      <c r="M196" s="105" t="s">
        <v>6410</v>
      </c>
      <c r="N196" s="108" t="s">
        <v>6413</v>
      </c>
      <c r="O196" s="109"/>
      <c r="P196" s="109"/>
      <c r="Q196" s="115" t="s">
        <v>1463</v>
      </c>
      <c r="R196" s="116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13"/>
      <c r="AD196" s="113"/>
      <c r="AE196" s="113"/>
    </row>
    <row r="197">
      <c r="A197" s="114">
        <v>6.928542902818E12</v>
      </c>
      <c r="B197" s="104" t="str">
        <f t="shared" si="1"/>
        <v>Fresh_Fresh strawberry red refreshment pages</v>
      </c>
      <c r="C197" s="105">
        <v>0.08</v>
      </c>
      <c r="D197" s="105">
        <v>0.08</v>
      </c>
      <c r="E197" s="105">
        <v>0.01</v>
      </c>
      <c r="F197" s="106">
        <f>ROUND('Meta data'!$B$1/E197,0)</f>
        <v>30</v>
      </c>
      <c r="G197" s="107"/>
      <c r="H197" s="105" t="s">
        <v>1428</v>
      </c>
      <c r="I197" s="119" t="s">
        <v>1445</v>
      </c>
      <c r="J197" s="105" t="s">
        <v>1454</v>
      </c>
      <c r="K197" s="119" t="s">
        <v>6414</v>
      </c>
      <c r="L197" s="104" t="s">
        <v>1458</v>
      </c>
      <c r="M197" s="105" t="s">
        <v>6410</v>
      </c>
      <c r="N197" s="108" t="s">
        <v>6413</v>
      </c>
      <c r="O197" s="109"/>
      <c r="P197" s="109"/>
      <c r="Q197" s="115" t="s">
        <v>1457</v>
      </c>
      <c r="R197" s="116"/>
      <c r="S197" s="117"/>
      <c r="T197" s="117"/>
      <c r="U197" s="102"/>
      <c r="V197" s="102"/>
      <c r="W197" s="102"/>
      <c r="X197" s="102"/>
      <c r="Y197" s="102"/>
      <c r="Z197" s="102"/>
      <c r="AA197" s="102"/>
      <c r="AB197" s="102"/>
      <c r="AC197" s="113"/>
      <c r="AD197" s="113"/>
      <c r="AE197" s="113"/>
    </row>
    <row r="198">
      <c r="A198" s="114">
        <v>45917.0</v>
      </c>
      <c r="B198" s="104" t="str">
        <f t="shared" si="1"/>
        <v>Fromaz_Roll goat cheese 200g Fromaz</v>
      </c>
      <c r="C198" s="105">
        <v>0.063</v>
      </c>
      <c r="D198" s="105">
        <v>0.15</v>
      </c>
      <c r="E198" s="105">
        <v>0.075</v>
      </c>
      <c r="F198" s="106">
        <f>ROUND('Meta data'!$B$1/E198,0)</f>
        <v>4</v>
      </c>
      <c r="G198" s="107"/>
      <c r="H198" s="105" t="s">
        <v>1502</v>
      </c>
      <c r="I198" s="105" t="str">
        <f>IFERROR(__xludf.DUMMYFUNCTION("GOOGLETRANSLATE(H198,""he"",""en"")"),"Fromaz")</f>
        <v>Fromaz</v>
      </c>
      <c r="J198" s="105" t="s">
        <v>1504</v>
      </c>
      <c r="K198" s="105" t="str">
        <f>IFERROR(__xludf.DUMMYFUNCTION("GOOGLETRANSLATE(J198,""he"",""en"")"),"Roll goat cheese 200g Fromaz")</f>
        <v>Roll goat cheese 200g Fromaz</v>
      </c>
      <c r="L198" s="104" t="s">
        <v>1510</v>
      </c>
      <c r="M198" s="105" t="s">
        <v>6415</v>
      </c>
      <c r="N198" s="108" t="s">
        <v>6416</v>
      </c>
      <c r="O198" s="109"/>
      <c r="P198" s="109"/>
      <c r="Q198" s="115" t="s">
        <v>1509</v>
      </c>
      <c r="R198" s="116"/>
      <c r="S198" s="117"/>
      <c r="T198" s="118"/>
      <c r="U198" s="102"/>
      <c r="V198" s="102"/>
      <c r="W198" s="102"/>
      <c r="X198" s="102"/>
      <c r="Y198" s="102"/>
      <c r="Z198" s="102"/>
      <c r="AA198" s="102"/>
      <c r="AB198" s="102"/>
      <c r="AC198" s="113"/>
      <c r="AD198" s="113"/>
      <c r="AE198" s="113"/>
    </row>
    <row r="199">
      <c r="A199" s="114">
        <v>7.290017888644E12</v>
      </c>
      <c r="B199" s="104" t="str">
        <f t="shared" si="1"/>
        <v>Fruit-&amp;-Vogue_Fruit &amp; Vogue Pineapple Banana turmeric 350 ml</v>
      </c>
      <c r="C199" s="105">
        <v>0.065</v>
      </c>
      <c r="D199" s="105">
        <v>0.153</v>
      </c>
      <c r="E199" s="105">
        <v>0.065</v>
      </c>
      <c r="F199" s="106">
        <f>ROUND('Meta data'!$B$1/E199,0)</f>
        <v>5</v>
      </c>
      <c r="G199" s="107"/>
      <c r="H199" s="105" t="s">
        <v>1549</v>
      </c>
      <c r="I199" s="119" t="s">
        <v>6417</v>
      </c>
      <c r="J199" s="105" t="s">
        <v>1560</v>
      </c>
      <c r="K199" s="119" t="s">
        <v>6418</v>
      </c>
      <c r="L199" s="104" t="s">
        <v>1564</v>
      </c>
      <c r="M199" s="105" t="s">
        <v>6351</v>
      </c>
      <c r="N199" s="108" t="s">
        <v>6352</v>
      </c>
      <c r="O199" s="109"/>
      <c r="P199" s="109"/>
      <c r="Q199" s="111" t="s">
        <v>1563</v>
      </c>
      <c r="R199" s="116"/>
      <c r="S199" s="117"/>
      <c r="T199" s="117"/>
      <c r="U199" s="118"/>
      <c r="V199" s="102"/>
      <c r="W199" s="102"/>
      <c r="X199" s="102"/>
      <c r="Y199" s="102"/>
      <c r="Z199" s="102"/>
      <c r="AA199" s="102"/>
      <c r="AB199" s="102"/>
      <c r="AC199" s="113"/>
      <c r="AD199" s="113"/>
      <c r="AE199" s="113"/>
    </row>
    <row r="200">
      <c r="A200" s="114">
        <v>7.290017888026E12</v>
      </c>
      <c r="B200" s="104" t="str">
        <f t="shared" si="1"/>
        <v>Fruit-&amp;-Vogue_Fruit &amp; Vogue pineapple carrot apple 350 ml</v>
      </c>
      <c r="C200" s="105">
        <v>0.065</v>
      </c>
      <c r="D200" s="105">
        <v>0.153</v>
      </c>
      <c r="E200" s="105">
        <v>0.065</v>
      </c>
      <c r="F200" s="106">
        <f>ROUND('Meta data'!$B$1/E200,0)</f>
        <v>5</v>
      </c>
      <c r="G200" s="107"/>
      <c r="H200" s="105" t="s">
        <v>1549</v>
      </c>
      <c r="I200" s="119" t="s">
        <v>6417</v>
      </c>
      <c r="J200" s="105" t="s">
        <v>1566</v>
      </c>
      <c r="K200" s="119" t="s">
        <v>6419</v>
      </c>
      <c r="L200" s="104" t="s">
        <v>1570</v>
      </c>
      <c r="M200" s="105" t="s">
        <v>6420</v>
      </c>
      <c r="N200" s="108" t="s">
        <v>6421</v>
      </c>
      <c r="O200" s="109"/>
      <c r="P200" s="109"/>
      <c r="Q200" s="115" t="s">
        <v>1569</v>
      </c>
      <c r="R200" s="111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13"/>
      <c r="AD200" s="113"/>
      <c r="AE200" s="113"/>
    </row>
    <row r="201">
      <c r="A201" s="114">
        <v>7.290017888033E12</v>
      </c>
      <c r="B201" s="104" t="str">
        <f t="shared" si="1"/>
        <v>Fruit-&amp;-Vogue_Fruit &amp; Vogue Hotel Nana Banana 350 ml</v>
      </c>
      <c r="C201" s="105">
        <v>0.065</v>
      </c>
      <c r="D201" s="105">
        <v>0.153</v>
      </c>
      <c r="E201" s="105">
        <v>0.065</v>
      </c>
      <c r="F201" s="106">
        <f>ROUND('Meta data'!$B$1/E201,0)</f>
        <v>5</v>
      </c>
      <c r="G201" s="107"/>
      <c r="H201" s="105" t="s">
        <v>1549</v>
      </c>
      <c r="I201" s="119" t="s">
        <v>6417</v>
      </c>
      <c r="J201" s="105" t="s">
        <v>1552</v>
      </c>
      <c r="K201" s="119" t="s">
        <v>6422</v>
      </c>
      <c r="L201" s="104" t="s">
        <v>1558</v>
      </c>
      <c r="M201" s="105" t="s">
        <v>6420</v>
      </c>
      <c r="N201" s="108" t="s">
        <v>6421</v>
      </c>
      <c r="O201" s="109"/>
      <c r="P201" s="109"/>
      <c r="Q201" s="115" t="s">
        <v>1557</v>
      </c>
      <c r="R201" s="116"/>
      <c r="S201" s="118"/>
      <c r="T201" s="117"/>
      <c r="U201" s="102"/>
      <c r="V201" s="102"/>
      <c r="W201" s="102"/>
      <c r="X201" s="102"/>
      <c r="Y201" s="102"/>
      <c r="Z201" s="102"/>
      <c r="AA201" s="102"/>
      <c r="AB201" s="102"/>
      <c r="AC201" s="113"/>
      <c r="AD201" s="113"/>
      <c r="AE201" s="113"/>
    </row>
    <row r="202">
      <c r="A202" s="114">
        <v>7.290017888019E12</v>
      </c>
      <c r="B202" s="104" t="str">
        <f t="shared" si="1"/>
        <v>Fruit-&amp;-Vogue_Fruit &amp; Vogue pomegranate apple beet Gingr 350</v>
      </c>
      <c r="C202" s="105">
        <v>0.065</v>
      </c>
      <c r="D202" s="105">
        <v>0.153</v>
      </c>
      <c r="E202" s="105">
        <v>0.065</v>
      </c>
      <c r="F202" s="106">
        <f>ROUND('Meta data'!$B$1/E202,0)</f>
        <v>5</v>
      </c>
      <c r="G202" s="107"/>
      <c r="H202" s="105" t="s">
        <v>1549</v>
      </c>
      <c r="I202" s="119" t="s">
        <v>6417</v>
      </c>
      <c r="J202" s="105" t="s">
        <v>1572</v>
      </c>
      <c r="K202" s="119" t="s">
        <v>6423</v>
      </c>
      <c r="L202" s="104" t="s">
        <v>1576</v>
      </c>
      <c r="M202" s="105" t="s">
        <v>6420</v>
      </c>
      <c r="N202" s="108" t="s">
        <v>6421</v>
      </c>
      <c r="O202" s="109"/>
      <c r="P202" s="109"/>
      <c r="Q202" s="115" t="s">
        <v>1575</v>
      </c>
      <c r="R202" s="116"/>
      <c r="S202" s="117"/>
      <c r="T202" s="117"/>
      <c r="U202" s="102"/>
      <c r="V202" s="102"/>
      <c r="W202" s="102"/>
      <c r="X202" s="102"/>
      <c r="Y202" s="102"/>
      <c r="Z202" s="102"/>
      <c r="AA202" s="102"/>
      <c r="AB202" s="102"/>
      <c r="AC202" s="113"/>
      <c r="AD202" s="113"/>
      <c r="AE202" s="113"/>
    </row>
    <row r="203">
      <c r="A203" s="114">
        <v>7.290014791879E12</v>
      </c>
      <c r="B203" s="104" t="str">
        <f t="shared" si="1"/>
        <v>Fruit-water_Fruit  Water melon 0.5 L.</v>
      </c>
      <c r="C203" s="105">
        <v>0.066</v>
      </c>
      <c r="D203" s="105">
        <v>0.202</v>
      </c>
      <c r="E203" s="105">
        <v>0.066</v>
      </c>
      <c r="F203" s="106">
        <f>ROUND('Meta data'!$B$1/E203,0)</f>
        <v>5</v>
      </c>
      <c r="G203" s="107"/>
      <c r="H203" s="105" t="s">
        <v>1513</v>
      </c>
      <c r="I203" s="119" t="s">
        <v>6424</v>
      </c>
      <c r="J203" s="105" t="s">
        <v>1516</v>
      </c>
      <c r="K203" s="119" t="s">
        <v>6425</v>
      </c>
      <c r="L203" s="104" t="s">
        <v>1520</v>
      </c>
      <c r="M203" s="105" t="s">
        <v>6351</v>
      </c>
      <c r="N203" s="108" t="s">
        <v>6352</v>
      </c>
      <c r="O203" s="109"/>
      <c r="P203" s="109"/>
      <c r="Q203" s="115" t="s">
        <v>1519</v>
      </c>
      <c r="R203" s="116"/>
      <c r="S203" s="117"/>
      <c r="T203" s="118"/>
      <c r="U203" s="102"/>
      <c r="V203" s="102"/>
      <c r="W203" s="102"/>
      <c r="X203" s="102"/>
      <c r="Y203" s="102"/>
      <c r="Z203" s="102"/>
      <c r="AA203" s="102"/>
      <c r="AB203" s="102"/>
      <c r="AC203" s="113"/>
      <c r="AD203" s="113"/>
      <c r="AE203" s="113"/>
    </row>
    <row r="204">
      <c r="A204" s="114">
        <v>7.290014791848E12</v>
      </c>
      <c r="B204" s="104" t="str">
        <f t="shared" si="1"/>
        <v>Fruit-water_Fruit  Water pineapple 0.5 L.</v>
      </c>
      <c r="C204" s="105">
        <v>0.066</v>
      </c>
      <c r="D204" s="105">
        <v>0.202</v>
      </c>
      <c r="E204" s="105">
        <v>0.066</v>
      </c>
      <c r="F204" s="106">
        <f>ROUND('Meta data'!$B$1/E204,0)</f>
        <v>5</v>
      </c>
      <c r="G204" s="107"/>
      <c r="H204" s="105" t="s">
        <v>1513</v>
      </c>
      <c r="I204" s="119" t="s">
        <v>6424</v>
      </c>
      <c r="J204" s="105" t="s">
        <v>1537</v>
      </c>
      <c r="K204" s="119" t="s">
        <v>6426</v>
      </c>
      <c r="L204" s="104" t="s">
        <v>1541</v>
      </c>
      <c r="M204" s="105" t="s">
        <v>6351</v>
      </c>
      <c r="N204" s="108" t="s">
        <v>6352</v>
      </c>
      <c r="O204" s="109"/>
      <c r="P204" s="109"/>
      <c r="Q204" s="115" t="s">
        <v>1540</v>
      </c>
      <c r="R204" s="116"/>
      <c r="S204" s="118"/>
      <c r="T204" s="117"/>
      <c r="U204" s="102"/>
      <c r="V204" s="102"/>
      <c r="W204" s="102"/>
      <c r="X204" s="102"/>
      <c r="Y204" s="102"/>
      <c r="Z204" s="102"/>
      <c r="AA204" s="102"/>
      <c r="AB204" s="102"/>
      <c r="AC204" s="113"/>
      <c r="AD204" s="113"/>
      <c r="AE204" s="113"/>
    </row>
    <row r="205">
      <c r="A205" s="114">
        <v>7.290014791817E12</v>
      </c>
      <c r="B205" s="104" t="str">
        <f t="shared" si="1"/>
        <v>Fruit-water_Fruit  Water melon 1.5 L.</v>
      </c>
      <c r="C205" s="105">
        <v>0.0955</v>
      </c>
      <c r="D205" s="105">
        <v>0.278</v>
      </c>
      <c r="E205" s="105">
        <v>0.0955</v>
      </c>
      <c r="F205" s="106">
        <f>ROUND('Meta data'!$B$1/E205,0)</f>
        <v>3</v>
      </c>
      <c r="G205" s="107"/>
      <c r="H205" s="105" t="s">
        <v>1513</v>
      </c>
      <c r="I205" s="119" t="s">
        <v>6424</v>
      </c>
      <c r="J205" s="105" t="s">
        <v>1523</v>
      </c>
      <c r="K205" s="119" t="s">
        <v>6427</v>
      </c>
      <c r="L205" s="104" t="s">
        <v>1528</v>
      </c>
      <c r="M205" s="105" t="s">
        <v>6351</v>
      </c>
      <c r="N205" s="108" t="s">
        <v>6428</v>
      </c>
      <c r="O205" s="109"/>
      <c r="P205" s="109"/>
      <c r="Q205" s="111" t="s">
        <v>1527</v>
      </c>
      <c r="R205" s="111"/>
      <c r="S205" s="11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13"/>
      <c r="AD205" s="113"/>
      <c r="AE205" s="113"/>
    </row>
    <row r="206">
      <c r="A206" s="114">
        <v>7.290014791787E12</v>
      </c>
      <c r="B206" s="104" t="str">
        <f t="shared" si="1"/>
        <v>Fruit-water_Fruit  Water pineapple 1.5 L.</v>
      </c>
      <c r="C206" s="105">
        <v>0.0955</v>
      </c>
      <c r="D206" s="105">
        <v>0.278</v>
      </c>
      <c r="E206" s="105">
        <v>0.0955</v>
      </c>
      <c r="F206" s="106">
        <f>ROUND('Meta data'!$B$1/E206,0)</f>
        <v>3</v>
      </c>
      <c r="G206" s="107"/>
      <c r="H206" s="105" t="s">
        <v>1513</v>
      </c>
      <c r="I206" s="119" t="s">
        <v>6424</v>
      </c>
      <c r="J206" s="105" t="s">
        <v>1543</v>
      </c>
      <c r="K206" s="119" t="s">
        <v>6429</v>
      </c>
      <c r="L206" s="104" t="s">
        <v>1547</v>
      </c>
      <c r="M206" s="105" t="s">
        <v>6351</v>
      </c>
      <c r="N206" s="108" t="s">
        <v>6428</v>
      </c>
      <c r="O206" s="109"/>
      <c r="P206" s="109"/>
      <c r="Q206" s="111" t="s">
        <v>1546</v>
      </c>
      <c r="R206" s="111"/>
      <c r="S206" s="11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13"/>
      <c r="AD206" s="113"/>
      <c r="AE206" s="113"/>
    </row>
    <row r="207">
      <c r="A207" s="114">
        <v>7.2900147918E12</v>
      </c>
      <c r="B207" s="104" t="str">
        <f t="shared" si="1"/>
        <v>Fruit-water_Fruit  Water Peach 1.5 L.</v>
      </c>
      <c r="C207" s="105">
        <v>0.0955</v>
      </c>
      <c r="D207" s="105">
        <v>0.278</v>
      </c>
      <c r="E207" s="105">
        <v>0.0955</v>
      </c>
      <c r="F207" s="106">
        <f>ROUND('Meta data'!$B$1/E207,0)</f>
        <v>3</v>
      </c>
      <c r="G207" s="107"/>
      <c r="H207" s="105" t="s">
        <v>1513</v>
      </c>
      <c r="I207" s="119" t="s">
        <v>6424</v>
      </c>
      <c r="J207" s="105" t="s">
        <v>1531</v>
      </c>
      <c r="K207" s="119" t="s">
        <v>6430</v>
      </c>
      <c r="L207" s="104" t="s">
        <v>1535</v>
      </c>
      <c r="M207" s="105" t="s">
        <v>6351</v>
      </c>
      <c r="N207" s="108" t="s">
        <v>6428</v>
      </c>
      <c r="O207" s="109"/>
      <c r="P207" s="109"/>
      <c r="Q207" s="111" t="s">
        <v>1534</v>
      </c>
      <c r="R207" s="127"/>
      <c r="S207" s="118"/>
      <c r="T207" s="112"/>
      <c r="U207" s="102"/>
      <c r="V207" s="102"/>
      <c r="W207" s="102"/>
      <c r="X207" s="102"/>
      <c r="Y207" s="102"/>
      <c r="Z207" s="102"/>
      <c r="AA207" s="102"/>
      <c r="AB207" s="102"/>
      <c r="AC207" s="113"/>
      <c r="AD207" s="113"/>
      <c r="AE207" s="113"/>
    </row>
    <row r="208">
      <c r="A208" s="114">
        <v>7.616500647251E12</v>
      </c>
      <c r="B208" s="104" t="str">
        <f t="shared" si="1"/>
        <v>Fry_Fry nut milk chocolate 180 g</v>
      </c>
      <c r="C208" s="105">
        <v>0.093</v>
      </c>
      <c r="D208" s="105">
        <v>0.175</v>
      </c>
      <c r="E208" s="105">
        <v>0.015</v>
      </c>
      <c r="F208" s="106">
        <f>ROUND('Meta data'!$B$1/E208,0)</f>
        <v>20</v>
      </c>
      <c r="G208" s="107"/>
      <c r="H208" s="105" t="s">
        <v>1472</v>
      </c>
      <c r="I208" s="105" t="str">
        <f>IFERROR(__xludf.DUMMYFUNCTION("GOOGLETRANSLATE(H208,""he"",""en"")"),"Fry")</f>
        <v>Fry</v>
      </c>
      <c r="J208" s="105" t="s">
        <v>1489</v>
      </c>
      <c r="K208" s="105" t="str">
        <f>IFERROR(__xludf.DUMMYFUNCTION("GOOGLETRANSLATE(J208,""he"",""en"")"),"Fry nut milk chocolate 180 g")</f>
        <v>Fry nut milk chocolate 180 g</v>
      </c>
      <c r="L208" s="104" t="s">
        <v>1493</v>
      </c>
      <c r="M208" s="105" t="s">
        <v>6346</v>
      </c>
      <c r="N208" s="108" t="s">
        <v>6347</v>
      </c>
      <c r="O208" s="109"/>
      <c r="P208" s="109"/>
      <c r="Q208" s="115" t="s">
        <v>1492</v>
      </c>
      <c r="R208" s="116"/>
      <c r="S208" s="117"/>
      <c r="T208" s="117"/>
      <c r="U208" s="117"/>
      <c r="V208" s="102"/>
      <c r="W208" s="102"/>
      <c r="X208" s="102"/>
      <c r="Y208" s="102"/>
      <c r="Z208" s="102"/>
      <c r="AA208" s="102"/>
      <c r="AB208" s="102"/>
      <c r="AC208" s="113"/>
      <c r="AD208" s="113"/>
      <c r="AE208" s="113"/>
    </row>
    <row r="209">
      <c r="A209" s="114">
        <v>7.616500646087E12</v>
      </c>
      <c r="B209" s="104" t="str">
        <f t="shared" si="1"/>
        <v>Fry_Fry chocolate with pieces of nuts 100g</v>
      </c>
      <c r="C209" s="105">
        <v>0.097</v>
      </c>
      <c r="D209" s="105">
        <v>0.18</v>
      </c>
      <c r="E209" s="105">
        <v>0.008</v>
      </c>
      <c r="F209" s="106">
        <f>ROUND('Meta data'!$B$1/E209,0)</f>
        <v>38</v>
      </c>
      <c r="G209" s="107"/>
      <c r="H209" s="105" t="s">
        <v>1472</v>
      </c>
      <c r="I209" s="105" t="str">
        <f>IFERROR(__xludf.DUMMYFUNCTION("GOOGLETRANSLATE(H209,""he"",""en"")"),"Fry")</f>
        <v>Fry</v>
      </c>
      <c r="J209" s="105" t="s">
        <v>1474</v>
      </c>
      <c r="K209" s="105" t="str">
        <f>IFERROR(__xludf.DUMMYFUNCTION("GOOGLETRANSLATE(J209,""he"",""en"")"),"Fry chocolate with pieces of nuts 100g")</f>
        <v>Fry chocolate with pieces of nuts 100g</v>
      </c>
      <c r="L209" s="104" t="s">
        <v>1478</v>
      </c>
      <c r="M209" s="105" t="s">
        <v>6346</v>
      </c>
      <c r="N209" s="108" t="s">
        <v>6348</v>
      </c>
      <c r="O209" s="109"/>
      <c r="P209" s="109"/>
      <c r="Q209" s="115" t="s">
        <v>1477</v>
      </c>
      <c r="R209" s="116"/>
      <c r="S209" s="117"/>
      <c r="T209" s="117"/>
      <c r="U209" s="117"/>
      <c r="V209" s="102"/>
      <c r="W209" s="102"/>
      <c r="X209" s="102"/>
      <c r="Y209" s="102"/>
      <c r="Z209" s="102"/>
      <c r="AA209" s="102"/>
      <c r="AB209" s="102"/>
      <c r="AC209" s="113"/>
      <c r="AD209" s="113"/>
      <c r="AE209" s="113"/>
    </row>
    <row r="210">
      <c r="A210" s="114">
        <v>7.616500553484E12</v>
      </c>
      <c r="B210" s="104" t="str">
        <f t="shared" si="1"/>
        <v>Fry_Fry dark chocolate 78% 100 g</v>
      </c>
      <c r="C210" s="105">
        <v>0.097</v>
      </c>
      <c r="D210" s="105">
        <v>0.18</v>
      </c>
      <c r="E210" s="105">
        <v>0.008</v>
      </c>
      <c r="F210" s="106">
        <f>ROUND('Meta data'!$B$1/E210,0)</f>
        <v>38</v>
      </c>
      <c r="G210" s="107"/>
      <c r="H210" s="105" t="s">
        <v>1472</v>
      </c>
      <c r="I210" s="105" t="str">
        <f>IFERROR(__xludf.DUMMYFUNCTION("GOOGLETRANSLATE(H210,""he"",""en"")"),"Fry")</f>
        <v>Fry</v>
      </c>
      <c r="J210" s="105" t="s">
        <v>1481</v>
      </c>
      <c r="K210" s="105" t="str">
        <f>IFERROR(__xludf.DUMMYFUNCTION("GOOGLETRANSLATE(J210,""he"",""en"")"),"Fry dark chocolate 78% 100 g")</f>
        <v>Fry dark chocolate 78% 100 g</v>
      </c>
      <c r="L210" s="104" t="s">
        <v>1487</v>
      </c>
      <c r="M210" s="105" t="s">
        <v>6404</v>
      </c>
      <c r="N210" s="108" t="s">
        <v>6431</v>
      </c>
      <c r="O210" s="109"/>
      <c r="P210" s="109"/>
      <c r="Q210" s="115" t="s">
        <v>1486</v>
      </c>
      <c r="R210" s="120"/>
      <c r="S210" s="117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13"/>
      <c r="AD210" s="113"/>
      <c r="AE210" s="113"/>
    </row>
    <row r="211">
      <c r="A211" s="114">
        <v>7.61650055346E12</v>
      </c>
      <c r="B211" s="104" t="str">
        <f t="shared" si="1"/>
        <v>Fry_Fry orange dark chocolate 100g</v>
      </c>
      <c r="C211" s="105">
        <v>0.097</v>
      </c>
      <c r="D211" s="105">
        <v>0.18</v>
      </c>
      <c r="E211" s="105">
        <v>0.008</v>
      </c>
      <c r="F211" s="106">
        <f>ROUND('Meta data'!$B$1/E211,0)</f>
        <v>38</v>
      </c>
      <c r="G211" s="107"/>
      <c r="H211" s="105" t="s">
        <v>1472</v>
      </c>
      <c r="I211" s="105" t="str">
        <f>IFERROR(__xludf.DUMMYFUNCTION("GOOGLETRANSLATE(H211,""he"",""en"")"),"Fry")</f>
        <v>Fry</v>
      </c>
      <c r="J211" s="105" t="s">
        <v>1495</v>
      </c>
      <c r="K211" s="105" t="str">
        <f>IFERROR(__xludf.DUMMYFUNCTION("GOOGLETRANSLATE(J211,""he"",""en"")"),"Fry orange dark chocolate 100g")</f>
        <v>Fry orange dark chocolate 100g</v>
      </c>
      <c r="L211" s="104" t="s">
        <v>1500</v>
      </c>
      <c r="M211" s="105" t="s">
        <v>6404</v>
      </c>
      <c r="N211" s="108" t="s">
        <v>6405</v>
      </c>
      <c r="O211" s="109"/>
      <c r="P211" s="109"/>
      <c r="Q211" s="115" t="s">
        <v>1499</v>
      </c>
      <c r="R211" s="120"/>
      <c r="S211" s="117"/>
      <c r="T211" s="118"/>
      <c r="U211" s="117"/>
      <c r="V211" s="102"/>
      <c r="W211" s="102"/>
      <c r="X211" s="102"/>
      <c r="Y211" s="102"/>
      <c r="Z211" s="102"/>
      <c r="AA211" s="102"/>
      <c r="AB211" s="102"/>
      <c r="AC211" s="113"/>
      <c r="AD211" s="113"/>
      <c r="AE211" s="113"/>
    </row>
    <row r="212">
      <c r="A212" s="114">
        <v>7.29011011349E12</v>
      </c>
      <c r="B212" s="104" t="str">
        <f t="shared" si="1"/>
        <v>Fuze-Tea_Fuze tea peach 19 calories</v>
      </c>
      <c r="C212" s="105">
        <v>0.073</v>
      </c>
      <c r="D212" s="105">
        <v>0.205</v>
      </c>
      <c r="E212" s="105">
        <v>0.073</v>
      </c>
      <c r="F212" s="106">
        <f>ROUND('Meta data'!$B$1/E212,0)</f>
        <v>4</v>
      </c>
      <c r="G212" s="107"/>
      <c r="H212" s="105" t="s">
        <v>1578</v>
      </c>
      <c r="I212" s="105" t="str">
        <f>IFERROR(__xludf.DUMMYFUNCTION("GOOGLETRANSLATE(H212,""he"",""en"")"),"Fuze Tea")</f>
        <v>Fuze Tea</v>
      </c>
      <c r="J212" s="105" t="s">
        <v>1630</v>
      </c>
      <c r="K212" s="105" t="str">
        <f>IFERROR(__xludf.DUMMYFUNCTION("GOOGLETRANSLATE(J212,""he"",""en"")"),"Fuze tea peach 19 calories")</f>
        <v>Fuze tea peach 19 calories</v>
      </c>
      <c r="L212" s="104" t="s">
        <v>1634</v>
      </c>
      <c r="M212" s="105" t="s">
        <v>6316</v>
      </c>
      <c r="N212" s="108" t="s">
        <v>6317</v>
      </c>
      <c r="O212" s="109"/>
      <c r="P212" s="109"/>
      <c r="Q212" s="115" t="s">
        <v>1633</v>
      </c>
      <c r="R212" s="116"/>
      <c r="S212" s="118"/>
      <c r="T212" s="117"/>
      <c r="U212" s="102"/>
      <c r="V212" s="102"/>
      <c r="W212" s="102"/>
      <c r="X212" s="102"/>
      <c r="Y212" s="102"/>
      <c r="Z212" s="102"/>
      <c r="AA212" s="102"/>
      <c r="AB212" s="102"/>
      <c r="AC212" s="113"/>
      <c r="AD212" s="113"/>
      <c r="AE212" s="113"/>
    </row>
    <row r="213">
      <c r="A213" s="114">
        <v>7.290110110765E12</v>
      </c>
      <c r="B213" s="104" t="str">
        <f t="shared" si="1"/>
        <v>Fuze-Tea_Fuze Green tea lemon mint 0.5 liters</v>
      </c>
      <c r="C213" s="105">
        <v>0.073</v>
      </c>
      <c r="D213" s="105">
        <v>0.205</v>
      </c>
      <c r="E213" s="105">
        <v>0.073</v>
      </c>
      <c r="F213" s="106">
        <f>ROUND('Meta data'!$B$1/E213,0)</f>
        <v>4</v>
      </c>
      <c r="G213" s="107"/>
      <c r="H213" s="105" t="s">
        <v>1578</v>
      </c>
      <c r="I213" s="105" t="str">
        <f>IFERROR(__xludf.DUMMYFUNCTION("GOOGLETRANSLATE(H213,""he"",""en"")"),"Fuze Tea")</f>
        <v>Fuze Tea</v>
      </c>
      <c r="J213" s="105" t="s">
        <v>1624</v>
      </c>
      <c r="K213" s="105" t="str">
        <f>IFERROR(__xludf.DUMMYFUNCTION("GOOGLETRANSLATE(J213,""he"",""en"")"),"Fuze Green tea lemon mint 0.5 liters")</f>
        <v>Fuze Green tea lemon mint 0.5 liters</v>
      </c>
      <c r="L213" s="104" t="s">
        <v>1628</v>
      </c>
      <c r="M213" s="105" t="s">
        <v>6316</v>
      </c>
      <c r="N213" s="108" t="s">
        <v>6317</v>
      </c>
      <c r="O213" s="109"/>
      <c r="P213" s="109"/>
      <c r="Q213" s="120" t="s">
        <v>1627</v>
      </c>
      <c r="R213" s="115"/>
      <c r="S213" s="117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13"/>
      <c r="AD213" s="113"/>
      <c r="AE213" s="113"/>
    </row>
    <row r="214">
      <c r="A214" s="114">
        <v>7.290110112141E12</v>
      </c>
      <c r="B214" s="104" t="str">
        <f t="shared" si="1"/>
        <v>Fuze-Tea_Fuze Green tea Berries</v>
      </c>
      <c r="C214" s="105">
        <v>0.07</v>
      </c>
      <c r="D214" s="105">
        <v>0.205</v>
      </c>
      <c r="E214" s="105">
        <v>0.02</v>
      </c>
      <c r="F214" s="106">
        <f>ROUND('Meta data'!$B$1/E214,0)</f>
        <v>15</v>
      </c>
      <c r="G214" s="107"/>
      <c r="H214" s="105" t="s">
        <v>1578</v>
      </c>
      <c r="I214" s="105" t="str">
        <f>IFERROR(__xludf.DUMMYFUNCTION("GOOGLETRANSLATE(H214,""he"",""en"")"),"Fuze Tea")</f>
        <v>Fuze Tea</v>
      </c>
      <c r="J214" s="105" t="s">
        <v>1618</v>
      </c>
      <c r="K214" s="105" t="str">
        <f>IFERROR(__xludf.DUMMYFUNCTION("GOOGLETRANSLATE(J214,""he"",""en"")"),"Fuze Green tea Berries")</f>
        <v>Fuze Green tea Berries</v>
      </c>
      <c r="L214" s="104" t="s">
        <v>1622</v>
      </c>
      <c r="M214" s="105" t="s">
        <v>6316</v>
      </c>
      <c r="N214" s="108" t="s">
        <v>6317</v>
      </c>
      <c r="O214" s="109"/>
      <c r="P214" s="109"/>
      <c r="Q214" s="115" t="s">
        <v>1621</v>
      </c>
      <c r="R214" s="116"/>
      <c r="S214" s="117"/>
      <c r="T214" s="118"/>
      <c r="U214" s="117"/>
      <c r="V214" s="102"/>
      <c r="W214" s="102"/>
      <c r="X214" s="102"/>
      <c r="Y214" s="102"/>
      <c r="Z214" s="102"/>
      <c r="AA214" s="102"/>
      <c r="AB214" s="102"/>
      <c r="AC214" s="113"/>
      <c r="AD214" s="113"/>
      <c r="AE214" s="113"/>
    </row>
    <row r="215">
      <c r="A215" s="114">
        <v>7.290011018191E12</v>
      </c>
      <c r="B215" s="104" t="str">
        <f t="shared" si="1"/>
        <v>Fuze-Tea_Fusion T, peach-flavored iced tea diet</v>
      </c>
      <c r="C215" s="105">
        <v>0.073</v>
      </c>
      <c r="D215" s="105">
        <v>0.205</v>
      </c>
      <c r="E215" s="105">
        <v>0.02</v>
      </c>
      <c r="F215" s="106">
        <f>ROUND('Meta data'!$B$1/E215,0)</f>
        <v>15</v>
      </c>
      <c r="G215" s="107"/>
      <c r="H215" s="105" t="s">
        <v>1578</v>
      </c>
      <c r="I215" s="105" t="str">
        <f>IFERROR(__xludf.DUMMYFUNCTION("GOOGLETRANSLATE(H215,""he"",""en"")"),"Fuze Tea")</f>
        <v>Fuze Tea</v>
      </c>
      <c r="J215" s="105" t="s">
        <v>1612</v>
      </c>
      <c r="K215" s="105" t="str">
        <f>IFERROR(__xludf.DUMMYFUNCTION("GOOGLETRANSLATE(J215,""he"",""en"")"),"Fusion T, peach-flavored iced tea diet")</f>
        <v>Fusion T, peach-flavored iced tea diet</v>
      </c>
      <c r="L215" s="104" t="s">
        <v>1616</v>
      </c>
      <c r="M215" s="105" t="s">
        <v>6316</v>
      </c>
      <c r="N215" s="108" t="s">
        <v>6317</v>
      </c>
      <c r="O215" s="109"/>
      <c r="P215" s="109"/>
      <c r="Q215" s="115" t="s">
        <v>1615</v>
      </c>
      <c r="R215" s="116"/>
      <c r="S215" s="118"/>
      <c r="T215" s="117"/>
      <c r="U215" s="102"/>
      <c r="V215" s="102"/>
      <c r="W215" s="102"/>
      <c r="X215" s="102"/>
      <c r="Y215" s="102"/>
      <c r="Z215" s="102"/>
      <c r="AA215" s="102"/>
      <c r="AB215" s="102"/>
      <c r="AC215" s="113"/>
      <c r="AD215" s="113"/>
      <c r="AE215" s="113"/>
    </row>
    <row r="216">
      <c r="A216" s="114">
        <v>7.290011018184E12</v>
      </c>
      <c r="B216" s="104" t="str">
        <f t="shared" si="1"/>
        <v>Fuze-Tea_Fusion T peach flavored iced tea</v>
      </c>
      <c r="C216" s="105">
        <v>0.073</v>
      </c>
      <c r="D216" s="105">
        <v>0.205</v>
      </c>
      <c r="E216" s="105">
        <v>0.02</v>
      </c>
      <c r="F216" s="106">
        <f>ROUND('Meta data'!$B$1/E216,0)</f>
        <v>15</v>
      </c>
      <c r="G216" s="107"/>
      <c r="H216" s="105" t="s">
        <v>1578</v>
      </c>
      <c r="I216" s="105" t="str">
        <f>IFERROR(__xludf.DUMMYFUNCTION("GOOGLETRANSLATE(H216,""he"",""en"")"),"Fuze Tea")</f>
        <v>Fuze Tea</v>
      </c>
      <c r="J216" s="105" t="s">
        <v>1588</v>
      </c>
      <c r="K216" s="105" t="str">
        <f>IFERROR(__xludf.DUMMYFUNCTION("GOOGLETRANSLATE(J216,""he"",""en"")"),"Fusion T peach flavored iced tea")</f>
        <v>Fusion T peach flavored iced tea</v>
      </c>
      <c r="L216" s="104" t="s">
        <v>1592</v>
      </c>
      <c r="M216" s="105" t="s">
        <v>6316</v>
      </c>
      <c r="N216" s="108" t="s">
        <v>6317</v>
      </c>
      <c r="O216" s="109"/>
      <c r="P216" s="109"/>
      <c r="Q216" s="115" t="s">
        <v>1591</v>
      </c>
      <c r="R216" s="116"/>
      <c r="S216" s="117"/>
      <c r="T216" s="117"/>
      <c r="U216" s="117"/>
      <c r="V216" s="117"/>
      <c r="W216" s="102"/>
      <c r="X216" s="102"/>
      <c r="Y216" s="102"/>
      <c r="Z216" s="102"/>
      <c r="AA216" s="102"/>
      <c r="AB216" s="102"/>
      <c r="AC216" s="113"/>
      <c r="AD216" s="113"/>
      <c r="AE216" s="113"/>
    </row>
    <row r="217">
      <c r="A217" s="114">
        <v>7.290011018214E12</v>
      </c>
      <c r="B217" s="104" t="str">
        <f t="shared" si="1"/>
        <v>Fuze-Tea_Fusion T-flavored iced tea mango pineapple</v>
      </c>
      <c r="C217" s="105">
        <v>0.073</v>
      </c>
      <c r="D217" s="105">
        <v>0.205</v>
      </c>
      <c r="E217" s="105">
        <v>0.02</v>
      </c>
      <c r="F217" s="106">
        <f>ROUND('Meta data'!$B$1/E217,0)</f>
        <v>15</v>
      </c>
      <c r="G217" s="107"/>
      <c r="H217" s="105" t="s">
        <v>1578</v>
      </c>
      <c r="I217" s="105" t="str">
        <f>IFERROR(__xludf.DUMMYFUNCTION("GOOGLETRANSLATE(H217,""he"",""en"")"),"Fuze Tea")</f>
        <v>Fuze Tea</v>
      </c>
      <c r="J217" s="105" t="s">
        <v>1603</v>
      </c>
      <c r="K217" s="105" t="str">
        <f>IFERROR(__xludf.DUMMYFUNCTION("GOOGLETRANSLATE(J217,""he"",""en"")"),"Fusion T-flavored iced tea mango pineapple")</f>
        <v>Fusion T-flavored iced tea mango pineapple</v>
      </c>
      <c r="L217" s="104" t="s">
        <v>1607</v>
      </c>
      <c r="M217" s="105" t="s">
        <v>6316</v>
      </c>
      <c r="N217" s="108" t="s">
        <v>6317</v>
      </c>
      <c r="O217" s="109"/>
      <c r="P217" s="109"/>
      <c r="Q217" s="115" t="s">
        <v>1606</v>
      </c>
      <c r="R217" s="116"/>
      <c r="S217" s="117"/>
      <c r="T217" s="128"/>
      <c r="U217" s="102"/>
      <c r="V217" s="102"/>
      <c r="W217" s="102"/>
      <c r="X217" s="102"/>
      <c r="Y217" s="102"/>
      <c r="Z217" s="102"/>
      <c r="AA217" s="102"/>
      <c r="AB217" s="102"/>
      <c r="AC217" s="113"/>
      <c r="AD217" s="113"/>
      <c r="AE217" s="113"/>
    </row>
    <row r="218">
      <c r="A218" s="114">
        <v>7.290110113483E12</v>
      </c>
      <c r="B218" s="104" t="str">
        <f t="shared" si="1"/>
        <v>Fuze-Tea_Fuze tea peach 19 calories</v>
      </c>
      <c r="C218" s="105">
        <v>0.09199999</v>
      </c>
      <c r="D218" s="105">
        <v>0.3</v>
      </c>
      <c r="E218" s="105">
        <v>0.09199999</v>
      </c>
      <c r="F218" s="106">
        <f>ROUND('Meta data'!$B$1/E218,0)</f>
        <v>3</v>
      </c>
      <c r="G218" s="107"/>
      <c r="H218" s="105" t="s">
        <v>1578</v>
      </c>
      <c r="I218" s="105" t="str">
        <f>IFERROR(__xludf.DUMMYFUNCTION("GOOGLETRANSLATE(H218,""he"",""en"")"),"Fuze Tea")</f>
        <v>Fuze Tea</v>
      </c>
      <c r="J218" s="105" t="s">
        <v>1630</v>
      </c>
      <c r="K218" s="105" t="str">
        <f>IFERROR(__xludf.DUMMYFUNCTION("GOOGLETRANSLATE(J218,""he"",""en"")"),"Fuze tea peach 19 calories")</f>
        <v>Fuze tea peach 19 calories</v>
      </c>
      <c r="L218" s="104" t="s">
        <v>1637</v>
      </c>
      <c r="M218" s="105" t="s">
        <v>6316</v>
      </c>
      <c r="N218" s="108" t="s">
        <v>6318</v>
      </c>
      <c r="O218" s="109"/>
      <c r="P218" s="109"/>
      <c r="Q218" s="115" t="s">
        <v>1636</v>
      </c>
      <c r="R218" s="116"/>
      <c r="S218" s="117"/>
      <c r="T218" s="118"/>
      <c r="U218" s="102"/>
      <c r="V218" s="102"/>
      <c r="W218" s="102"/>
      <c r="X218" s="102"/>
      <c r="Y218" s="102"/>
      <c r="Z218" s="102"/>
      <c r="AA218" s="102"/>
      <c r="AB218" s="102"/>
      <c r="AC218" s="113"/>
      <c r="AD218" s="113"/>
      <c r="AE218" s="113"/>
    </row>
    <row r="219">
      <c r="A219" s="114">
        <v>7.290011018283E12</v>
      </c>
      <c r="B219" s="104" t="str">
        <f t="shared" si="1"/>
        <v>Fuze-Tea_Fusion T peach flavored iced tea</v>
      </c>
      <c r="C219" s="105">
        <v>0.09199999</v>
      </c>
      <c r="D219" s="105">
        <v>0.3</v>
      </c>
      <c r="E219" s="105">
        <v>0.09199999</v>
      </c>
      <c r="F219" s="106">
        <f>ROUND('Meta data'!$B$1/E219,0)</f>
        <v>3</v>
      </c>
      <c r="G219" s="107"/>
      <c r="H219" s="105" t="s">
        <v>1578</v>
      </c>
      <c r="I219" s="105" t="str">
        <f>IFERROR(__xludf.DUMMYFUNCTION("GOOGLETRANSLATE(H219,""he"",""en"")"),"Fuze Tea")</f>
        <v>Fuze Tea</v>
      </c>
      <c r="J219" s="105" t="s">
        <v>1588</v>
      </c>
      <c r="K219" s="105" t="str">
        <f>IFERROR(__xludf.DUMMYFUNCTION("GOOGLETRANSLATE(J219,""he"",""en"")"),"Fusion T peach flavored iced tea")</f>
        <v>Fusion T peach flavored iced tea</v>
      </c>
      <c r="L219" s="104" t="s">
        <v>1595</v>
      </c>
      <c r="M219" s="105" t="s">
        <v>6316</v>
      </c>
      <c r="N219" s="108" t="s">
        <v>6318</v>
      </c>
      <c r="O219" s="109"/>
      <c r="P219" s="109"/>
      <c r="Q219" s="115" t="s">
        <v>1594</v>
      </c>
      <c r="R219" s="116"/>
      <c r="S219" s="117"/>
      <c r="T219" s="118"/>
      <c r="U219" s="102"/>
      <c r="V219" s="102"/>
      <c r="W219" s="102"/>
      <c r="X219" s="102"/>
      <c r="Y219" s="102"/>
      <c r="Z219" s="102"/>
      <c r="AA219" s="102"/>
      <c r="AB219" s="102"/>
      <c r="AC219" s="113"/>
      <c r="AD219" s="113"/>
      <c r="AE219" s="113"/>
    </row>
    <row r="220">
      <c r="A220" s="114">
        <v>7.290011018306E12</v>
      </c>
      <c r="B220" s="104" t="str">
        <f t="shared" si="1"/>
        <v>Fuze-Tea_Fusion T peach flavored iced tea diet</v>
      </c>
      <c r="C220" s="105">
        <v>0.09199999</v>
      </c>
      <c r="D220" s="105">
        <v>0.3</v>
      </c>
      <c r="E220" s="105">
        <v>0.09199999</v>
      </c>
      <c r="F220" s="106">
        <f>ROUND('Meta data'!$B$1/E220,0)</f>
        <v>3</v>
      </c>
      <c r="G220" s="107"/>
      <c r="H220" s="105" t="s">
        <v>1578</v>
      </c>
      <c r="I220" s="105" t="str">
        <f>IFERROR(__xludf.DUMMYFUNCTION("GOOGLETRANSLATE(H220,""he"",""en"")"),"Fuze Tea")</f>
        <v>Fuze Tea</v>
      </c>
      <c r="J220" s="105" t="s">
        <v>1597</v>
      </c>
      <c r="K220" s="105" t="str">
        <f>IFERROR(__xludf.DUMMYFUNCTION("GOOGLETRANSLATE(J220,""he"",""en"")"),"Fusion T peach flavored iced tea diet")</f>
        <v>Fusion T peach flavored iced tea diet</v>
      </c>
      <c r="L220" s="104" t="s">
        <v>1601</v>
      </c>
      <c r="M220" s="105" t="s">
        <v>6316</v>
      </c>
      <c r="N220" s="108" t="s">
        <v>6318</v>
      </c>
      <c r="O220" s="109"/>
      <c r="P220" s="109"/>
      <c r="Q220" s="111" t="s">
        <v>1600</v>
      </c>
      <c r="R220" s="116"/>
      <c r="S220" s="118"/>
      <c r="T220" s="117"/>
      <c r="U220" s="117"/>
      <c r="V220" s="102"/>
      <c r="W220" s="102"/>
      <c r="X220" s="102"/>
      <c r="Y220" s="102"/>
      <c r="Z220" s="102"/>
      <c r="AA220" s="102"/>
      <c r="AB220" s="102"/>
      <c r="AC220" s="113"/>
      <c r="AD220" s="113"/>
      <c r="AE220" s="113"/>
    </row>
    <row r="221">
      <c r="A221" s="114">
        <v>7.290011018252E12</v>
      </c>
      <c r="B221" s="104" t="str">
        <f t="shared" si="1"/>
        <v>Fuze-Tea_Fusion T-flavored iced tea mango pineapple</v>
      </c>
      <c r="C221" s="105">
        <v>0.09199999</v>
      </c>
      <c r="D221" s="105">
        <v>0.3</v>
      </c>
      <c r="E221" s="105">
        <v>0.09199999</v>
      </c>
      <c r="F221" s="106">
        <f>ROUND('Meta data'!$B$1/E221,0)</f>
        <v>3</v>
      </c>
      <c r="G221" s="107"/>
      <c r="H221" s="105" t="s">
        <v>1578</v>
      </c>
      <c r="I221" s="105" t="str">
        <f>IFERROR(__xludf.DUMMYFUNCTION("GOOGLETRANSLATE(H221,""he"",""en"")"),"Fuze Tea")</f>
        <v>Fuze Tea</v>
      </c>
      <c r="J221" s="105" t="s">
        <v>1603</v>
      </c>
      <c r="K221" s="105" t="str">
        <f>IFERROR(__xludf.DUMMYFUNCTION("GOOGLETRANSLATE(J221,""he"",""en"")"),"Fusion T-flavored iced tea mango pineapple")</f>
        <v>Fusion T-flavored iced tea mango pineapple</v>
      </c>
      <c r="L221" s="104" t="s">
        <v>1610</v>
      </c>
      <c r="M221" s="105" t="s">
        <v>6316</v>
      </c>
      <c r="N221" s="108" t="s">
        <v>6318</v>
      </c>
      <c r="O221" s="109"/>
      <c r="P221" s="109"/>
      <c r="Q221" s="115" t="s">
        <v>1609</v>
      </c>
      <c r="R221" s="116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13"/>
      <c r="AD221" s="113"/>
      <c r="AE221" s="113"/>
    </row>
    <row r="222">
      <c r="A222" s="114">
        <v>7.29001101858E12</v>
      </c>
      <c r="B222" s="104" t="str">
        <f t="shared" si="1"/>
        <v>Fuze-Tea_Fusion T grape flavored iced tea</v>
      </c>
      <c r="C222" s="105">
        <v>0.09199999</v>
      </c>
      <c r="D222" s="105">
        <v>0.3</v>
      </c>
      <c r="E222" s="105">
        <v>0.09199999</v>
      </c>
      <c r="F222" s="106">
        <f>ROUND('Meta data'!$B$1/E222,0)</f>
        <v>3</v>
      </c>
      <c r="G222" s="107"/>
      <c r="H222" s="105" t="s">
        <v>1578</v>
      </c>
      <c r="I222" s="105" t="str">
        <f>IFERROR(__xludf.DUMMYFUNCTION("GOOGLETRANSLATE(H222,""he"",""en"")"),"Fuze Tea")</f>
        <v>Fuze Tea</v>
      </c>
      <c r="J222" s="105" t="s">
        <v>1581</v>
      </c>
      <c r="K222" s="105" t="str">
        <f>IFERROR(__xludf.DUMMYFUNCTION("GOOGLETRANSLATE(J222,""he"",""en"")"),"Fusion T grape flavored iced tea")</f>
        <v>Fusion T grape flavored iced tea</v>
      </c>
      <c r="L222" s="104" t="s">
        <v>1585</v>
      </c>
      <c r="M222" s="105" t="s">
        <v>6316</v>
      </c>
      <c r="N222" s="108" t="s">
        <v>6318</v>
      </c>
      <c r="O222" s="109"/>
      <c r="P222" s="109"/>
      <c r="Q222" s="111" t="s">
        <v>1584</v>
      </c>
      <c r="R222" s="116"/>
      <c r="S222" s="117"/>
      <c r="T222" s="118"/>
      <c r="U222" s="117"/>
      <c r="V222" s="102"/>
      <c r="W222" s="102"/>
      <c r="X222" s="102"/>
      <c r="Y222" s="102"/>
      <c r="Z222" s="102"/>
      <c r="AA222" s="102"/>
      <c r="AB222" s="102"/>
      <c r="AC222" s="113"/>
      <c r="AD222" s="113"/>
      <c r="AE222" s="113"/>
    </row>
    <row r="223">
      <c r="A223" s="114">
        <v>7.5001629E12</v>
      </c>
      <c r="B223" s="104" t="str">
        <f t="shared" si="1"/>
        <v>Sol_Sol 330 HF single bottle</v>
      </c>
      <c r="C223" s="105">
        <v>0.06</v>
      </c>
      <c r="D223" s="105">
        <v>0.235</v>
      </c>
      <c r="E223" s="105">
        <v>0.12</v>
      </c>
      <c r="F223" s="106">
        <f>ROUND('Meta data'!$B$1/E223,0)</f>
        <v>3</v>
      </c>
      <c r="G223" s="107"/>
      <c r="H223" s="105" t="s">
        <v>4381</v>
      </c>
      <c r="I223" s="119" t="s">
        <v>4382</v>
      </c>
      <c r="J223" s="105" t="s">
        <v>4383</v>
      </c>
      <c r="K223" s="105" t="str">
        <f>IFERROR(__xludf.DUMMYFUNCTION("GOOGLETRANSLATE(J223,""he"",""en"")"),"Sol 330 HF single bottle")</f>
        <v>Sol 330 HF single bottle</v>
      </c>
      <c r="L223" s="104" t="s">
        <v>4387</v>
      </c>
      <c r="M223" s="105" t="s">
        <v>6332</v>
      </c>
      <c r="N223" s="108" t="s">
        <v>6338</v>
      </c>
      <c r="O223" s="109"/>
      <c r="P223" s="109"/>
      <c r="Q223" s="115" t="s">
        <v>4386</v>
      </c>
      <c r="R223" s="116"/>
      <c r="S223" s="117"/>
      <c r="T223" s="117"/>
      <c r="U223" s="102"/>
      <c r="V223" s="102"/>
      <c r="W223" s="102"/>
      <c r="X223" s="102"/>
      <c r="Y223" s="102"/>
      <c r="Z223" s="102"/>
      <c r="AA223" s="102"/>
      <c r="AB223" s="102"/>
      <c r="AC223" s="113"/>
      <c r="AD223" s="113"/>
      <c r="AE223" s="113"/>
    </row>
    <row r="224">
      <c r="A224" s="114">
        <v>7.501013101393E12</v>
      </c>
      <c r="B224" s="104" t="str">
        <f t="shared" si="1"/>
        <v>G'omks_G'omks pineapple 473 ml bottle dozen</v>
      </c>
      <c r="C224" s="105">
        <v>0.068</v>
      </c>
      <c r="D224" s="105">
        <v>0.175</v>
      </c>
      <c r="E224" s="105">
        <v>0.068</v>
      </c>
      <c r="F224" s="106">
        <f>ROUND('Meta data'!$B$1/E224,0)</f>
        <v>4</v>
      </c>
      <c r="G224" s="107"/>
      <c r="H224" s="105" t="s">
        <v>1950</v>
      </c>
      <c r="I224" s="105" t="s">
        <v>6432</v>
      </c>
      <c r="J224" s="105" t="s">
        <v>1982</v>
      </c>
      <c r="K224" s="105" t="str">
        <f>IFERROR(__xludf.DUMMYFUNCTION("GOOGLETRANSLATE(J224,""he"",""en"")"),"G'omks pineapple 473 ml bottle dozen")</f>
        <v>G'omks pineapple 473 ml bottle dozen</v>
      </c>
      <c r="L224" s="104" t="s">
        <v>1986</v>
      </c>
      <c r="M224" s="105" t="s">
        <v>6420</v>
      </c>
      <c r="N224" s="108" t="s">
        <v>6421</v>
      </c>
      <c r="O224" s="109"/>
      <c r="P224" s="109"/>
      <c r="Q224" s="115" t="s">
        <v>1985</v>
      </c>
      <c r="R224" s="116"/>
      <c r="S224" s="117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13"/>
      <c r="AD224" s="113"/>
      <c r="AE224" s="113"/>
    </row>
    <row r="225">
      <c r="A225" s="114">
        <v>7.501013101355E12</v>
      </c>
      <c r="B225" s="104" t="str">
        <f t="shared" si="1"/>
        <v>G'omks_G'omks 473 ml bottle of peach dozen</v>
      </c>
      <c r="C225" s="105">
        <v>0.068</v>
      </c>
      <c r="D225" s="105">
        <v>0.175</v>
      </c>
      <c r="E225" s="105">
        <v>0.068</v>
      </c>
      <c r="F225" s="106">
        <f>ROUND('Meta data'!$B$1/E225,0)</f>
        <v>4</v>
      </c>
      <c r="G225" s="107"/>
      <c r="H225" s="105" t="s">
        <v>1950</v>
      </c>
      <c r="I225" s="105" t="str">
        <f>IFERROR(__xludf.DUMMYFUNCTION("GOOGLETRANSLATE(H225,""he"",""en"")"),"G'omks")</f>
        <v>G'omks</v>
      </c>
      <c r="J225" s="105" t="s">
        <v>1952</v>
      </c>
      <c r="K225" s="105" t="str">
        <f>IFERROR(__xludf.DUMMYFUNCTION("GOOGLETRANSLATE(J225,""he"",""en"")"),"G'omks 473 ml bottle of peach dozen")</f>
        <v>G'omks 473 ml bottle of peach dozen</v>
      </c>
      <c r="L225" s="104" t="s">
        <v>1956</v>
      </c>
      <c r="M225" s="105" t="s">
        <v>6420</v>
      </c>
      <c r="N225" s="108" t="s">
        <v>6421</v>
      </c>
      <c r="O225" s="109"/>
      <c r="P225" s="109"/>
      <c r="Q225" s="111" t="s">
        <v>1955</v>
      </c>
      <c r="R225" s="116"/>
      <c r="S225" s="117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13"/>
      <c r="AD225" s="113"/>
      <c r="AE225" s="113"/>
    </row>
    <row r="226">
      <c r="A226" s="114">
        <v>7.501013101348E12</v>
      </c>
      <c r="B226" s="104" t="str">
        <f t="shared" si="1"/>
        <v>G'omks_G'omks mango 473 ml bottle dozen</v>
      </c>
      <c r="C226" s="105">
        <v>0.068</v>
      </c>
      <c r="D226" s="105">
        <v>0.175</v>
      </c>
      <c r="E226" s="105">
        <v>0.068</v>
      </c>
      <c r="F226" s="106">
        <f>ROUND('Meta data'!$B$1/E226,0)</f>
        <v>4</v>
      </c>
      <c r="G226" s="107"/>
      <c r="H226" s="105" t="s">
        <v>1950</v>
      </c>
      <c r="I226" s="105" t="str">
        <f>IFERROR(__xludf.DUMMYFUNCTION("GOOGLETRANSLATE(H226,""he"",""en"")"),"G'omks")</f>
        <v>G'omks</v>
      </c>
      <c r="J226" s="105" t="s">
        <v>1976</v>
      </c>
      <c r="K226" s="105" t="str">
        <f>IFERROR(__xludf.DUMMYFUNCTION("GOOGLETRANSLATE(J226,""he"",""en"")"),"G'omks mango 473 ml bottle dozen")</f>
        <v>G'omks mango 473 ml bottle dozen</v>
      </c>
      <c r="L226" s="104" t="s">
        <v>1980</v>
      </c>
      <c r="M226" s="105" t="s">
        <v>6420</v>
      </c>
      <c r="N226" s="108" t="s">
        <v>6421</v>
      </c>
      <c r="O226" s="109"/>
      <c r="P226" s="109"/>
      <c r="Q226" s="115" t="s">
        <v>1979</v>
      </c>
      <c r="R226" s="116"/>
      <c r="S226" s="117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13"/>
      <c r="AD226" s="113"/>
      <c r="AE226" s="113"/>
    </row>
    <row r="227">
      <c r="A227" s="114">
        <v>7.501013122114E12</v>
      </c>
      <c r="B227" s="104" t="str">
        <f t="shared" si="1"/>
        <v>G'omks_G'omks dozen liter carton pineapple</v>
      </c>
      <c r="C227" s="105">
        <v>0.08</v>
      </c>
      <c r="D227" s="105">
        <v>0.24</v>
      </c>
      <c r="E227" s="105">
        <v>0.07</v>
      </c>
      <c r="F227" s="106">
        <f>ROUND('Meta data'!$B$1/E227,0)</f>
        <v>4</v>
      </c>
      <c r="G227" s="107"/>
      <c r="H227" s="105" t="s">
        <v>1950</v>
      </c>
      <c r="I227" s="105" t="str">
        <f>IFERROR(__xludf.DUMMYFUNCTION("GOOGLETRANSLATE(H227,""he"",""en"")"),"G'omks")</f>
        <v>G'omks</v>
      </c>
      <c r="J227" s="105" t="s">
        <v>1958</v>
      </c>
      <c r="K227" s="105" t="str">
        <f>IFERROR(__xludf.DUMMYFUNCTION("GOOGLETRANSLATE(J227,""he"",""en"")"),"G'omks dozen liter carton pineapple")</f>
        <v>G'omks dozen liter carton pineapple</v>
      </c>
      <c r="L227" s="104" t="s">
        <v>1962</v>
      </c>
      <c r="M227" s="105" t="s">
        <v>6420</v>
      </c>
      <c r="N227" s="108" t="s">
        <v>6433</v>
      </c>
      <c r="O227" s="109"/>
      <c r="P227" s="109"/>
      <c r="Q227" s="111" t="s">
        <v>1961</v>
      </c>
      <c r="R227" s="111"/>
      <c r="S227" s="112"/>
      <c r="T227" s="112"/>
      <c r="U227" s="118"/>
      <c r="V227" s="112"/>
      <c r="W227" s="118">
        <v>2.0</v>
      </c>
      <c r="X227" s="102"/>
      <c r="Y227" s="102"/>
      <c r="Z227" s="102"/>
      <c r="AA227" s="102"/>
      <c r="AB227" s="102"/>
      <c r="AC227" s="113"/>
      <c r="AD227" s="113"/>
      <c r="AE227" s="113"/>
    </row>
    <row r="228">
      <c r="A228" s="114">
        <v>7.501013122053E12</v>
      </c>
      <c r="B228" s="104" t="str">
        <f t="shared" si="1"/>
        <v>G'omks_G'omks liter carton dozen peach</v>
      </c>
      <c r="C228" s="105">
        <v>0.08</v>
      </c>
      <c r="D228" s="105">
        <v>0.24</v>
      </c>
      <c r="E228" s="105">
        <v>0.07</v>
      </c>
      <c r="F228" s="106">
        <f>ROUND('Meta data'!$B$1/E228,0)</f>
        <v>4</v>
      </c>
      <c r="G228" s="107"/>
      <c r="H228" s="105" t="s">
        <v>1950</v>
      </c>
      <c r="I228" s="105" t="str">
        <f>IFERROR(__xludf.DUMMYFUNCTION("GOOGLETRANSLATE(H228,""he"",""en"")"),"G'omks")</f>
        <v>G'omks</v>
      </c>
      <c r="J228" s="105" t="s">
        <v>1970</v>
      </c>
      <c r="K228" s="105" t="str">
        <f>IFERROR(__xludf.DUMMYFUNCTION("GOOGLETRANSLATE(J228,""he"",""en"")"),"G'omks liter carton dozen peach")</f>
        <v>G'omks liter carton dozen peach</v>
      </c>
      <c r="L228" s="104" t="s">
        <v>1974</v>
      </c>
      <c r="M228" s="105" t="s">
        <v>6420</v>
      </c>
      <c r="N228" s="108" t="s">
        <v>6433</v>
      </c>
      <c r="O228" s="109"/>
      <c r="P228" s="109"/>
      <c r="Q228" s="111" t="s">
        <v>1973</v>
      </c>
      <c r="R228" s="111"/>
      <c r="S228" s="112"/>
      <c r="T228" s="112"/>
      <c r="U228" s="112"/>
      <c r="V228" s="118"/>
      <c r="W228" s="102"/>
      <c r="X228" s="102"/>
      <c r="Y228" s="102"/>
      <c r="Z228" s="102"/>
      <c r="AA228" s="102"/>
      <c r="AB228" s="102"/>
      <c r="AC228" s="113"/>
      <c r="AD228" s="113"/>
      <c r="AE228" s="113"/>
    </row>
    <row r="229">
      <c r="A229" s="114">
        <v>7.501013122039E12</v>
      </c>
      <c r="B229" s="104" t="str">
        <f t="shared" si="1"/>
        <v>G'omks_G'omks liter carton dozen mangoes</v>
      </c>
      <c r="C229" s="105">
        <v>0.08</v>
      </c>
      <c r="D229" s="105">
        <v>0.24</v>
      </c>
      <c r="E229" s="105">
        <v>0.07</v>
      </c>
      <c r="F229" s="106">
        <f>ROUND('Meta data'!$B$1/E229,0)</f>
        <v>4</v>
      </c>
      <c r="G229" s="107"/>
      <c r="H229" s="105" t="s">
        <v>1950</v>
      </c>
      <c r="I229" s="105" t="str">
        <f>IFERROR(__xludf.DUMMYFUNCTION("GOOGLETRANSLATE(H229,""he"",""en"")"),"G'omks")</f>
        <v>G'omks</v>
      </c>
      <c r="J229" s="105" t="s">
        <v>1964</v>
      </c>
      <c r="K229" s="105" t="str">
        <f>IFERROR(__xludf.DUMMYFUNCTION("GOOGLETRANSLATE(J229,""he"",""en"")"),"G'omks liter carton dozen mangoes")</f>
        <v>G'omks liter carton dozen mangoes</v>
      </c>
      <c r="L229" s="104" t="s">
        <v>1968</v>
      </c>
      <c r="M229" s="105" t="s">
        <v>6420</v>
      </c>
      <c r="N229" s="108" t="s">
        <v>6433</v>
      </c>
      <c r="O229" s="109"/>
      <c r="P229" s="109"/>
      <c r="Q229" s="111" t="s">
        <v>1967</v>
      </c>
      <c r="R229" s="111"/>
      <c r="S229" s="112"/>
      <c r="T229" s="112"/>
      <c r="U229" s="112"/>
      <c r="V229" s="118"/>
      <c r="W229" s="102"/>
      <c r="X229" s="102"/>
      <c r="Y229" s="102"/>
      <c r="Z229" s="102"/>
      <c r="AA229" s="102"/>
      <c r="AB229" s="102"/>
      <c r="AC229" s="113"/>
      <c r="AD229" s="113"/>
      <c r="AE229" s="113"/>
    </row>
    <row r="230">
      <c r="A230" s="114">
        <v>7.501013122992E12</v>
      </c>
      <c r="B230" s="104" t="str">
        <f t="shared" si="1"/>
        <v>G'omks_G'omks pineapple coconut dozen quart carton</v>
      </c>
      <c r="C230" s="105">
        <v>0.08</v>
      </c>
      <c r="D230" s="105">
        <v>0.24</v>
      </c>
      <c r="E230" s="105">
        <v>0.07</v>
      </c>
      <c r="F230" s="106">
        <f>ROUND('Meta data'!$B$1/E230,0)</f>
        <v>4</v>
      </c>
      <c r="G230" s="107"/>
      <c r="H230" s="105" t="s">
        <v>1950</v>
      </c>
      <c r="I230" s="105" t="str">
        <f>IFERROR(__xludf.DUMMYFUNCTION("GOOGLETRANSLATE(H230,""he"",""en"")"),"G'omks")</f>
        <v>G'omks</v>
      </c>
      <c r="J230" s="105" t="s">
        <v>1988</v>
      </c>
      <c r="K230" s="105" t="str">
        <f>IFERROR(__xludf.DUMMYFUNCTION("GOOGLETRANSLATE(J230,""he"",""en"")"),"G'omks pineapple coconut dozen quart carton")</f>
        <v>G'omks pineapple coconut dozen quart carton</v>
      </c>
      <c r="L230" s="104" t="s">
        <v>1992</v>
      </c>
      <c r="M230" s="105" t="s">
        <v>6420</v>
      </c>
      <c r="N230" s="108" t="s">
        <v>6433</v>
      </c>
      <c r="O230" s="109"/>
      <c r="P230" s="109"/>
      <c r="Q230" s="115" t="s">
        <v>1991</v>
      </c>
      <c r="R230" s="116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13"/>
      <c r="AD230" s="113"/>
      <c r="AE230" s="113"/>
    </row>
    <row r="231">
      <c r="A231" s="114">
        <v>8.714599513828E12</v>
      </c>
      <c r="B231" s="104" t="str">
        <f t="shared" si="1"/>
        <v>Giikobs_Coffee Giiikobs Corning 47.5 g</v>
      </c>
      <c r="C231" s="105">
        <v>0.061</v>
      </c>
      <c r="D231" s="105">
        <v>0.09999999</v>
      </c>
      <c r="E231" s="105">
        <v>0.02</v>
      </c>
      <c r="F231" s="106">
        <f>ROUND('Meta data'!$B$1/E231,0)</f>
        <v>15</v>
      </c>
      <c r="G231" s="107"/>
      <c r="H231" s="105" t="s">
        <v>1940</v>
      </c>
      <c r="I231" s="105" t="str">
        <f>IFERROR(__xludf.DUMMYFUNCTION("GOOGLETRANSLATE(H231,""he"",""en"")"),"Giikobs")</f>
        <v>Giikobs</v>
      </c>
      <c r="J231" s="105" t="s">
        <v>1942</v>
      </c>
      <c r="K231" s="105" t="str">
        <f>IFERROR(__xludf.DUMMYFUNCTION("GOOGLETRANSLATE(J231,""he"",""en"")"),"Coffee Giiikobs Corning 47.5 g")</f>
        <v>Coffee Giiikobs Corning 47.5 g</v>
      </c>
      <c r="L231" s="104" t="s">
        <v>1947</v>
      </c>
      <c r="M231" s="105" t="s">
        <v>6396</v>
      </c>
      <c r="N231" s="108" t="s">
        <v>6434</v>
      </c>
      <c r="O231" s="109"/>
      <c r="P231" s="109"/>
      <c r="Q231" s="115" t="s">
        <v>1946</v>
      </c>
      <c r="R231" s="120"/>
      <c r="S231" s="117"/>
      <c r="T231" s="117"/>
      <c r="U231" s="102"/>
      <c r="V231" s="102"/>
      <c r="W231" s="102"/>
      <c r="X231" s="102"/>
      <c r="Y231" s="102"/>
      <c r="Z231" s="102"/>
      <c r="AA231" s="102"/>
      <c r="AB231" s="102"/>
      <c r="AC231" s="113"/>
      <c r="AD231" s="113"/>
      <c r="AE231" s="113"/>
    </row>
    <row r="232">
      <c r="A232" s="114">
        <v>4125417.0</v>
      </c>
      <c r="B232" s="104" t="str">
        <f t="shared" si="1"/>
        <v>gil_White Gil Tnuva 206 grams of 3%</v>
      </c>
      <c r="C232" s="105">
        <v>0.07</v>
      </c>
      <c r="D232" s="105">
        <v>0.08</v>
      </c>
      <c r="E232" s="105">
        <v>0.075</v>
      </c>
      <c r="F232" s="106">
        <f>ROUND('Meta data'!$B$1/E232,0)</f>
        <v>4</v>
      </c>
      <c r="G232" s="107"/>
      <c r="H232" s="105" t="s">
        <v>1655</v>
      </c>
      <c r="I232" s="119" t="s">
        <v>6435</v>
      </c>
      <c r="J232" s="105" t="s">
        <v>1657</v>
      </c>
      <c r="K232" s="119" t="s">
        <v>6436</v>
      </c>
      <c r="L232" s="104" t="s">
        <v>1662</v>
      </c>
      <c r="M232" s="105" t="s">
        <v>6437</v>
      </c>
      <c r="N232" s="108" t="s">
        <v>6438</v>
      </c>
      <c r="O232" s="109"/>
      <c r="P232" s="109"/>
      <c r="Q232" s="115" t="s">
        <v>1661</v>
      </c>
      <c r="R232" s="116"/>
      <c r="S232" s="117"/>
      <c r="T232" s="118"/>
      <c r="U232" s="117"/>
      <c r="V232" s="102"/>
      <c r="W232" s="102"/>
      <c r="X232" s="102"/>
      <c r="Y232" s="102"/>
      <c r="Z232" s="102"/>
      <c r="AA232" s="102"/>
      <c r="AB232" s="102"/>
      <c r="AC232" s="113"/>
      <c r="AD232" s="113"/>
      <c r="AE232" s="113"/>
    </row>
    <row r="233">
      <c r="A233" s="114">
        <v>8.690504033431E12</v>
      </c>
      <c r="B233" s="104" t="str">
        <f t="shared" si="1"/>
        <v>Godiva_Godiva Milk Chocolate Bar 35 grams</v>
      </c>
      <c r="C233" s="105">
        <v>0.16</v>
      </c>
      <c r="D233" s="105">
        <v>0.05</v>
      </c>
      <c r="E233" s="105">
        <v>0.02</v>
      </c>
      <c r="F233" s="106">
        <f>ROUND('Meta data'!$B$1/E233,0)</f>
        <v>15</v>
      </c>
      <c r="G233" s="107"/>
      <c r="H233" s="105" t="s">
        <v>1679</v>
      </c>
      <c r="I233" s="105" t="str">
        <f>IFERROR(__xludf.DUMMYFUNCTION("GOOGLETRANSLATE(H233,""he"",""en"")"),"Godiva")</f>
        <v>Godiva</v>
      </c>
      <c r="J233" s="105" t="s">
        <v>1687</v>
      </c>
      <c r="K233" s="105" t="str">
        <f>IFERROR(__xludf.DUMMYFUNCTION("GOOGLETRANSLATE(J233,""he"",""en"")"),"Godiva Milk Chocolate Bar 35 grams")</f>
        <v>Godiva Milk Chocolate Bar 35 grams</v>
      </c>
      <c r="L233" s="104" t="s">
        <v>1691</v>
      </c>
      <c r="M233" s="105" t="s">
        <v>6302</v>
      </c>
      <c r="N233" s="108" t="s">
        <v>6303</v>
      </c>
      <c r="O233" s="109"/>
      <c r="P233" s="109"/>
      <c r="Q233" s="111" t="s">
        <v>1690</v>
      </c>
      <c r="R233" s="111"/>
      <c r="S233" s="118"/>
      <c r="T233" s="112"/>
      <c r="U233" s="102"/>
      <c r="V233" s="102"/>
      <c r="W233" s="102"/>
      <c r="X233" s="102"/>
      <c r="Y233" s="102"/>
      <c r="Z233" s="102"/>
      <c r="AA233" s="102"/>
      <c r="AB233" s="102"/>
      <c r="AC233" s="113"/>
      <c r="AD233" s="113"/>
      <c r="AE233" s="113"/>
    </row>
    <row r="234">
      <c r="A234" s="114">
        <v>8.690504153856E12</v>
      </c>
      <c r="B234" s="104" t="str">
        <f t="shared" si="1"/>
        <v>Godiva_Godiva Milk Chocolate Nut Bar 30g</v>
      </c>
      <c r="C234" s="105">
        <v>0.16</v>
      </c>
      <c r="D234" s="105">
        <v>0.05</v>
      </c>
      <c r="E234" s="105">
        <v>0.02</v>
      </c>
      <c r="F234" s="106">
        <f>ROUND('Meta data'!$B$1/E234,0)</f>
        <v>15</v>
      </c>
      <c r="G234" s="107"/>
      <c r="H234" s="105" t="s">
        <v>1679</v>
      </c>
      <c r="I234" s="105" t="str">
        <f>IFERROR(__xludf.DUMMYFUNCTION("GOOGLETRANSLATE(H234,""he"",""en"")"),"Godiva")</f>
        <v>Godiva</v>
      </c>
      <c r="J234" s="105" t="s">
        <v>1699</v>
      </c>
      <c r="K234" s="105" t="str">
        <f>IFERROR(__xludf.DUMMYFUNCTION("GOOGLETRANSLATE(J234,""he"",""en"")"),"Godiva Milk Chocolate Nut Bar 30g")</f>
        <v>Godiva Milk Chocolate Nut Bar 30g</v>
      </c>
      <c r="L234" s="104" t="s">
        <v>1703</v>
      </c>
      <c r="M234" s="105" t="s">
        <v>6302</v>
      </c>
      <c r="N234" s="108" t="s">
        <v>6303</v>
      </c>
      <c r="O234" s="109"/>
      <c r="P234" s="109"/>
      <c r="Q234" s="111" t="s">
        <v>1702</v>
      </c>
      <c r="R234" s="115"/>
      <c r="S234" s="11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13"/>
      <c r="AD234" s="113"/>
      <c r="AE234" s="113"/>
    </row>
    <row r="235">
      <c r="A235" s="114">
        <v>8.690504033448E12</v>
      </c>
      <c r="B235" s="104" t="str">
        <f t="shared" si="1"/>
        <v>Godiva_Godiva Milk Chocolate Bar Vanilla 35g</v>
      </c>
      <c r="C235" s="105">
        <v>0.16</v>
      </c>
      <c r="D235" s="105">
        <v>0.05</v>
      </c>
      <c r="E235" s="105">
        <v>0.02</v>
      </c>
      <c r="F235" s="106">
        <f>ROUND('Meta data'!$B$1/E235,0)</f>
        <v>15</v>
      </c>
      <c r="G235" s="107"/>
      <c r="H235" s="105" t="s">
        <v>1679</v>
      </c>
      <c r="I235" s="105" t="str">
        <f>IFERROR(__xludf.DUMMYFUNCTION("GOOGLETRANSLATE(H235,""he"",""en"")"),"Godiva")</f>
        <v>Godiva</v>
      </c>
      <c r="J235" s="105" t="s">
        <v>1693</v>
      </c>
      <c r="K235" s="105" t="str">
        <f>IFERROR(__xludf.DUMMYFUNCTION("GOOGLETRANSLATE(J235,""he"",""en"")"),"Godiva Milk Chocolate Bar Vanilla 35g")</f>
        <v>Godiva Milk Chocolate Bar Vanilla 35g</v>
      </c>
      <c r="L235" s="104" t="s">
        <v>1697</v>
      </c>
      <c r="M235" s="105" t="s">
        <v>6302</v>
      </c>
      <c r="N235" s="108" t="s">
        <v>6303</v>
      </c>
      <c r="O235" s="109"/>
      <c r="P235" s="109"/>
      <c r="Q235" s="111" t="s">
        <v>1696</v>
      </c>
      <c r="R235" s="115"/>
      <c r="S235" s="11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13"/>
      <c r="AD235" s="113"/>
      <c r="AE235" s="113"/>
    </row>
    <row r="236">
      <c r="A236" s="114">
        <v>8.690504153764E12</v>
      </c>
      <c r="B236" s="104" t="str">
        <f t="shared" si="1"/>
        <v>Godiva_Godiva Dark Chocolate Bar 30 g</v>
      </c>
      <c r="C236" s="105">
        <v>0.16</v>
      </c>
      <c r="D236" s="105">
        <v>0.05</v>
      </c>
      <c r="E236" s="105">
        <v>0.02</v>
      </c>
      <c r="F236" s="106">
        <f>ROUND('Meta data'!$B$1/E236,0)</f>
        <v>15</v>
      </c>
      <c r="G236" s="107"/>
      <c r="H236" s="105" t="s">
        <v>1679</v>
      </c>
      <c r="I236" s="105" t="str">
        <f>IFERROR(__xludf.DUMMYFUNCTION("GOOGLETRANSLATE(H236,""he"",""en"")"),"Godiva")</f>
        <v>Godiva</v>
      </c>
      <c r="J236" s="105" t="s">
        <v>1681</v>
      </c>
      <c r="K236" s="105" t="str">
        <f>IFERROR(__xludf.DUMMYFUNCTION("GOOGLETRANSLATE(J236,""he"",""en"")"),"Godiva Dark Chocolate Bar 30 g")</f>
        <v>Godiva Dark Chocolate Bar 30 g</v>
      </c>
      <c r="L236" s="104" t="s">
        <v>1685</v>
      </c>
      <c r="M236" s="105" t="s">
        <v>6302</v>
      </c>
      <c r="N236" s="108" t="s">
        <v>6303</v>
      </c>
      <c r="O236" s="109"/>
      <c r="P236" s="109"/>
      <c r="Q236" s="111" t="s">
        <v>1684</v>
      </c>
      <c r="R236" s="115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13"/>
      <c r="AD236" s="113"/>
      <c r="AE236" s="113"/>
    </row>
    <row r="237">
      <c r="A237" s="114">
        <v>7.290008464345E12</v>
      </c>
      <c r="B237" s="104" t="str">
        <f t="shared" si="1"/>
        <v>Goldstar_Goldstar beer bottle, 330 ml</v>
      </c>
      <c r="C237" s="105">
        <v>0.06</v>
      </c>
      <c r="D237" s="105">
        <v>0.228</v>
      </c>
      <c r="E237" s="105">
        <v>0.06</v>
      </c>
      <c r="F237" s="106">
        <f>ROUND('Meta data'!$B$1/E237,0)</f>
        <v>5</v>
      </c>
      <c r="G237" s="107"/>
      <c r="H237" s="105" t="s">
        <v>1730</v>
      </c>
      <c r="I237" s="105" t="str">
        <f>IFERROR(__xludf.DUMMYFUNCTION("GOOGLETRANSLATE(H237,""he"",""en"")"),"Goldstar")</f>
        <v>Goldstar</v>
      </c>
      <c r="J237" s="105" t="s">
        <v>1732</v>
      </c>
      <c r="K237" s="105" t="str">
        <f>IFERROR(__xludf.DUMMYFUNCTION("GOOGLETRANSLATE(J237,""he"",""en"")"),"Goldstar beer bottle, 330 ml")</f>
        <v>Goldstar beer bottle, 330 ml</v>
      </c>
      <c r="L237" s="104" t="s">
        <v>1736</v>
      </c>
      <c r="M237" s="105" t="s">
        <v>6332</v>
      </c>
      <c r="N237" s="108" t="s">
        <v>6338</v>
      </c>
      <c r="O237" s="109"/>
      <c r="P237" s="109"/>
      <c r="Q237" s="115" t="s">
        <v>1735</v>
      </c>
      <c r="R237" s="116"/>
      <c r="S237" s="117"/>
      <c r="T237" s="121"/>
      <c r="U237" s="102"/>
      <c r="V237" s="102"/>
      <c r="W237" s="102"/>
      <c r="X237" s="102"/>
      <c r="Y237" s="102"/>
      <c r="Z237" s="102"/>
      <c r="AA237" s="102"/>
      <c r="AB237" s="102"/>
      <c r="AC237" s="113"/>
      <c r="AD237" s="113"/>
      <c r="AE237" s="113"/>
    </row>
    <row r="238">
      <c r="A238" s="114">
        <v>7.290008464109E12</v>
      </c>
      <c r="B238" s="104" t="str">
        <f t="shared" si="1"/>
        <v>Goldstar_Goldstar beer is not filtered, 330 ml</v>
      </c>
      <c r="C238" s="105">
        <v>0.06</v>
      </c>
      <c r="D238" s="105">
        <v>0.228</v>
      </c>
      <c r="E238" s="105">
        <v>0.06</v>
      </c>
      <c r="F238" s="106">
        <f>ROUND('Meta data'!$B$1/E238,0)</f>
        <v>5</v>
      </c>
      <c r="G238" s="107"/>
      <c r="H238" s="105" t="s">
        <v>1730</v>
      </c>
      <c r="I238" s="105" t="str">
        <f>IFERROR(__xludf.DUMMYFUNCTION("GOOGLETRANSLATE(H238,""he"",""en"")"),"Goldstar")</f>
        <v>Goldstar</v>
      </c>
      <c r="J238" s="105" t="s">
        <v>1750</v>
      </c>
      <c r="K238" s="105" t="str">
        <f>IFERROR(__xludf.DUMMYFUNCTION("GOOGLETRANSLATE(J238,""he"",""en"")"),"Goldstar beer is not filtered, 330 ml")</f>
        <v>Goldstar beer is not filtered, 330 ml</v>
      </c>
      <c r="L238" s="104" t="s">
        <v>1754</v>
      </c>
      <c r="M238" s="105" t="s">
        <v>6332</v>
      </c>
      <c r="N238" s="108" t="s">
        <v>6338</v>
      </c>
      <c r="O238" s="109"/>
      <c r="P238" s="109"/>
      <c r="Q238" s="115" t="s">
        <v>1753</v>
      </c>
      <c r="R238" s="116"/>
      <c r="S238" s="118"/>
      <c r="T238" s="117"/>
      <c r="U238" s="102"/>
      <c r="V238" s="102"/>
      <c r="W238" s="102"/>
      <c r="X238" s="102"/>
      <c r="Y238" s="102"/>
      <c r="Z238" s="102"/>
      <c r="AA238" s="102"/>
      <c r="AB238" s="102"/>
      <c r="AC238" s="113"/>
      <c r="AD238" s="113"/>
      <c r="AE238" s="113"/>
    </row>
    <row r="239">
      <c r="A239" s="114">
        <v>7.290008464468E12</v>
      </c>
      <c r="B239" s="104" t="str">
        <f t="shared" si="1"/>
        <v>Goldstar_Goldstar beer in the can, 500 ml</v>
      </c>
      <c r="C239" s="105">
        <v>0.065</v>
      </c>
      <c r="D239" s="105">
        <v>0.17</v>
      </c>
      <c r="E239" s="105">
        <v>0.065</v>
      </c>
      <c r="F239" s="106">
        <f>ROUND('Meta data'!$B$1/E239,0)</f>
        <v>5</v>
      </c>
      <c r="G239" s="107"/>
      <c r="H239" s="105" t="s">
        <v>1730</v>
      </c>
      <c r="I239" s="105" t="str">
        <f>IFERROR(__xludf.DUMMYFUNCTION("GOOGLETRANSLATE(H239,""he"",""en"")"),"Goldstar")</f>
        <v>Goldstar</v>
      </c>
      <c r="J239" s="105" t="s">
        <v>1738</v>
      </c>
      <c r="K239" s="105" t="str">
        <f>IFERROR(__xludf.DUMMYFUNCTION("GOOGLETRANSLATE(J239,""he"",""en"")"),"Goldstar beer in the can, 500 ml")</f>
        <v>Goldstar beer in the can, 500 ml</v>
      </c>
      <c r="L239" s="104" t="s">
        <v>1742</v>
      </c>
      <c r="M239" s="105" t="s">
        <v>6332</v>
      </c>
      <c r="N239" s="108" t="s">
        <v>6333</v>
      </c>
      <c r="O239" s="109"/>
      <c r="P239" s="109"/>
      <c r="Q239" s="111" t="s">
        <v>1741</v>
      </c>
      <c r="R239" s="111"/>
      <c r="S239" s="11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13"/>
      <c r="AD239" s="113"/>
      <c r="AE239" s="113"/>
    </row>
    <row r="240">
      <c r="A240" s="114">
        <v>7.290008464024E12</v>
      </c>
      <c r="B240" s="104" t="str">
        <f t="shared" si="1"/>
        <v>Goldstar_Goldstar beer is not filtered Can, 500 ml</v>
      </c>
      <c r="C240" s="105">
        <v>0.065</v>
      </c>
      <c r="D240" s="105">
        <v>0.17</v>
      </c>
      <c r="E240" s="105">
        <v>0.065</v>
      </c>
      <c r="F240" s="106">
        <f>ROUND('Meta data'!$B$1/E240,0)</f>
        <v>5</v>
      </c>
      <c r="G240" s="107"/>
      <c r="H240" s="105" t="s">
        <v>1730</v>
      </c>
      <c r="I240" s="105" t="str">
        <f>IFERROR(__xludf.DUMMYFUNCTION("GOOGLETRANSLATE(H240,""he"",""en"")"),"Goldstar")</f>
        <v>Goldstar</v>
      </c>
      <c r="J240" s="105" t="s">
        <v>1744</v>
      </c>
      <c r="K240" s="105" t="str">
        <f>IFERROR(__xludf.DUMMYFUNCTION("GOOGLETRANSLATE(J240,""he"",""en"")"),"Goldstar beer is not filtered Can, 500 ml")</f>
        <v>Goldstar beer is not filtered Can, 500 ml</v>
      </c>
      <c r="L240" s="104" t="s">
        <v>1748</v>
      </c>
      <c r="M240" s="105" t="s">
        <v>6332</v>
      </c>
      <c r="N240" s="108" t="s">
        <v>6333</v>
      </c>
      <c r="O240" s="109"/>
      <c r="P240" s="109"/>
      <c r="Q240" s="111" t="s">
        <v>1747</v>
      </c>
      <c r="R240" s="111"/>
      <c r="S240" s="11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13"/>
      <c r="AD240" s="113"/>
      <c r="AE240" s="113"/>
    </row>
    <row r="241">
      <c r="A241" s="114">
        <v>7.501013101362E12</v>
      </c>
      <c r="B241" s="104" t="str">
        <f t="shared" si="1"/>
        <v>G'omks_G'omks coconut pineapple 473 ml bottle dozen</v>
      </c>
      <c r="C241" s="105">
        <v>0.068</v>
      </c>
      <c r="D241" s="105">
        <v>0.175</v>
      </c>
      <c r="E241" s="105">
        <v>0.068</v>
      </c>
      <c r="F241" s="106">
        <f>ROUND('Meta data'!$B$1/E241,0)</f>
        <v>4</v>
      </c>
      <c r="G241" s="107"/>
      <c r="H241" s="105" t="s">
        <v>1950</v>
      </c>
      <c r="I241" s="105" t="str">
        <f>IFERROR(__xludf.DUMMYFUNCTION("GOOGLETRANSLATE(H241,""he"",""en"")"),"G'omks")</f>
        <v>G'omks</v>
      </c>
      <c r="J241" s="105" t="s">
        <v>1995</v>
      </c>
      <c r="K241" s="119" t="s">
        <v>6439</v>
      </c>
      <c r="L241" s="104" t="s">
        <v>1999</v>
      </c>
      <c r="M241" s="105" t="s">
        <v>6420</v>
      </c>
      <c r="N241" s="108" t="s">
        <v>6421</v>
      </c>
      <c r="O241" s="109"/>
      <c r="P241" s="109"/>
      <c r="Q241" s="115" t="s">
        <v>1998</v>
      </c>
      <c r="R241" s="116"/>
      <c r="S241" s="128"/>
      <c r="T241" s="117"/>
      <c r="U241" s="118"/>
      <c r="V241" s="117"/>
      <c r="W241" s="102"/>
      <c r="X241" s="102"/>
      <c r="Y241" s="102"/>
      <c r="Z241" s="102"/>
      <c r="AA241" s="102"/>
      <c r="AB241" s="102"/>
      <c r="AC241" s="113"/>
      <c r="AD241" s="113"/>
      <c r="AE241" s="113"/>
    </row>
    <row r="242">
      <c r="A242" s="114">
        <v>4122195.0</v>
      </c>
      <c r="B242" s="104" t="str">
        <f t="shared" si="1"/>
        <v>Gosh-milk_Gush milk cheese sliced ​​200g</v>
      </c>
      <c r="C242" s="105">
        <v>0.134</v>
      </c>
      <c r="D242" s="105">
        <v>0.154</v>
      </c>
      <c r="E242" s="105">
        <v>0.035</v>
      </c>
      <c r="F242" s="106">
        <f>ROUND('Meta data'!$B$1/E242,0)</f>
        <v>9</v>
      </c>
      <c r="G242" s="107"/>
      <c r="H242" s="105" t="s">
        <v>1756</v>
      </c>
      <c r="I242" s="105" t="str">
        <f>IFERROR(__xludf.DUMMYFUNCTION("GOOGLETRANSLATE(H242,""he"",""en"")"),"Gosh milk")</f>
        <v>Gosh milk</v>
      </c>
      <c r="J242" s="105" t="s">
        <v>1758</v>
      </c>
      <c r="K242" s="105" t="str">
        <f>IFERROR(__xludf.DUMMYFUNCTION("GOOGLETRANSLATE(J242,""he"",""en"")"),"Gush milk cheese sliced ​​200g")</f>
        <v>Gush milk cheese sliced ​​200g</v>
      </c>
      <c r="L242" s="104" t="s">
        <v>1764</v>
      </c>
      <c r="M242" s="105" t="s">
        <v>6440</v>
      </c>
      <c r="N242" s="108" t="s">
        <v>6441</v>
      </c>
      <c r="O242" s="109"/>
      <c r="P242" s="109"/>
      <c r="Q242" s="115" t="s">
        <v>1763</v>
      </c>
      <c r="R242" s="116"/>
      <c r="S242" s="117"/>
      <c r="T242" s="117"/>
      <c r="U242" s="118"/>
      <c r="V242" s="102"/>
      <c r="W242" s="102"/>
      <c r="X242" s="102"/>
      <c r="Y242" s="102"/>
      <c r="Z242" s="102"/>
      <c r="AA242" s="102"/>
      <c r="AB242" s="102"/>
      <c r="AC242" s="113"/>
      <c r="AD242" s="113"/>
      <c r="AE242" s="113"/>
    </row>
    <row r="243">
      <c r="A243" s="114">
        <v>8.000380003761E12</v>
      </c>
      <c r="B243" s="104" t="str">
        <f t="shared" si="1"/>
        <v>Grand-Patisserie_Grand Patisserie Coconut</v>
      </c>
      <c r="C243" s="105">
        <v>0.245</v>
      </c>
      <c r="D243" s="105">
        <v>0.075</v>
      </c>
      <c r="E243" s="105">
        <v>0.05</v>
      </c>
      <c r="F243" s="106">
        <f>ROUND('Meta data'!$B$1/E243,0)</f>
        <v>6</v>
      </c>
      <c r="G243" s="107"/>
      <c r="H243" s="105" t="s">
        <v>6442</v>
      </c>
      <c r="I243" s="105" t="str">
        <f>IFERROR(__xludf.DUMMYFUNCTION("GOOGLETRANSLATE(H243,""he"",""en"")"),"Grand Patisserie")</f>
        <v>Grand Patisserie</v>
      </c>
      <c r="J243" s="105" t="s">
        <v>2394</v>
      </c>
      <c r="K243" s="105" t="str">
        <f>IFERROR(__xludf.DUMMYFUNCTION("GOOGLETRANSLATE(J243,""he"",""en"")"),"Grand Patisserie Coconut")</f>
        <v>Grand Patisserie Coconut</v>
      </c>
      <c r="L243" s="104" t="s">
        <v>2398</v>
      </c>
      <c r="M243" s="105" t="s">
        <v>6388</v>
      </c>
      <c r="N243" s="108" t="s">
        <v>6443</v>
      </c>
      <c r="O243" s="109"/>
      <c r="P243" s="109"/>
      <c r="Q243" s="115" t="s">
        <v>2397</v>
      </c>
      <c r="R243" s="116"/>
      <c r="S243" s="117"/>
      <c r="T243" s="117"/>
      <c r="U243" s="117"/>
      <c r="V243" s="117"/>
      <c r="W243" s="102"/>
      <c r="X243" s="102"/>
      <c r="Y243" s="102"/>
      <c r="Z243" s="102"/>
      <c r="AA243" s="102"/>
      <c r="AB243" s="102"/>
      <c r="AC243" s="113"/>
      <c r="AD243" s="113"/>
      <c r="AE243" s="113"/>
    </row>
    <row r="244">
      <c r="A244" s="114">
        <v>8.001160001786E12</v>
      </c>
      <c r="B244" s="104" t="str">
        <f t="shared" si="1"/>
        <v>Gtoriid_Gtoriid Sports Sound Blue, 500 ml</v>
      </c>
      <c r="C244" s="105">
        <v>0.062</v>
      </c>
      <c r="D244" s="105">
        <v>0.24</v>
      </c>
      <c r="E244" s="105">
        <v>0.062</v>
      </c>
      <c r="F244" s="106">
        <f>ROUND('Meta data'!$B$1/E244,0)</f>
        <v>5</v>
      </c>
      <c r="G244" s="107"/>
      <c r="H244" s="105" t="s">
        <v>1639</v>
      </c>
      <c r="I244" s="105" t="str">
        <f>IFERROR(__xludf.DUMMYFUNCTION("GOOGLETRANSLATE(H244,""he"",""en"")"),"Gtoriid")</f>
        <v>Gtoriid</v>
      </c>
      <c r="J244" s="105" t="s">
        <v>1649</v>
      </c>
      <c r="K244" s="105" t="str">
        <f>IFERROR(__xludf.DUMMYFUNCTION("GOOGLETRANSLATE(J244,""he"",""en"")"),"Gtoriid Sports Sound Blue, 500 ml")</f>
        <v>Gtoriid Sports Sound Blue, 500 ml</v>
      </c>
      <c r="L244" s="104" t="s">
        <v>1653</v>
      </c>
      <c r="M244" s="105" t="s">
        <v>6329</v>
      </c>
      <c r="N244" s="108" t="s">
        <v>6444</v>
      </c>
      <c r="O244" s="109"/>
      <c r="P244" s="109"/>
      <c r="Q244" s="115" t="s">
        <v>1652</v>
      </c>
      <c r="R244" s="116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13"/>
      <c r="AD244" s="113"/>
      <c r="AE244" s="113"/>
    </row>
    <row r="245">
      <c r="A245" s="114">
        <v>8.001160001892E12</v>
      </c>
      <c r="B245" s="104" t="str">
        <f t="shared" si="1"/>
        <v>Gtoriid_Gtoriid red orange sports</v>
      </c>
      <c r="C245" s="105">
        <v>0.062</v>
      </c>
      <c r="D245" s="105">
        <v>0.24</v>
      </c>
      <c r="E245" s="105">
        <v>0.062</v>
      </c>
      <c r="F245" s="106">
        <f>ROUND('Meta data'!$B$1/E245,0)</f>
        <v>5</v>
      </c>
      <c r="G245" s="107"/>
      <c r="H245" s="105" t="s">
        <v>1639</v>
      </c>
      <c r="I245" s="105" t="str">
        <f>IFERROR(__xludf.DUMMYFUNCTION("GOOGLETRANSLATE(H245,""he"",""en"")"),"Gtoriid")</f>
        <v>Gtoriid</v>
      </c>
      <c r="J245" s="105" t="s">
        <v>1642</v>
      </c>
      <c r="K245" s="105" t="str">
        <f>IFERROR(__xludf.DUMMYFUNCTION("GOOGLETRANSLATE(J245,""he"",""en"")"),"Gtoriid red orange sports")</f>
        <v>Gtoriid red orange sports</v>
      </c>
      <c r="L245" s="104" t="s">
        <v>1647</v>
      </c>
      <c r="M245" s="105" t="s">
        <v>6329</v>
      </c>
      <c r="N245" s="108" t="s">
        <v>6444</v>
      </c>
      <c r="O245" s="109"/>
      <c r="P245" s="109"/>
      <c r="Q245" s="115" t="s">
        <v>1646</v>
      </c>
      <c r="R245" s="115"/>
      <c r="S245" s="117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13"/>
      <c r="AD245" s="113"/>
      <c r="AE245" s="113"/>
    </row>
    <row r="246">
      <c r="A246" s="114">
        <v>8.0176732E7</v>
      </c>
      <c r="B246" s="104" t="str">
        <f t="shared" si="1"/>
        <v>Happy-Hippo_Happy Hippo Cocoa 21 g</v>
      </c>
      <c r="C246" s="105">
        <v>0.045</v>
      </c>
      <c r="D246" s="105">
        <v>0.09</v>
      </c>
      <c r="E246" s="105">
        <v>0.02</v>
      </c>
      <c r="F246" s="106">
        <f>ROUND('Meta data'!$B$1/E246,0)</f>
        <v>15</v>
      </c>
      <c r="G246" s="107"/>
      <c r="H246" s="105" t="s">
        <v>1767</v>
      </c>
      <c r="I246" s="105" t="str">
        <f>IFERROR(__xludf.DUMMYFUNCTION("GOOGLETRANSLATE(H246,""he"",""en"")"),"Happy Hippo")</f>
        <v>Happy Hippo</v>
      </c>
      <c r="J246" s="105" t="s">
        <v>1769</v>
      </c>
      <c r="K246" s="105" t="str">
        <f>IFERROR(__xludf.DUMMYFUNCTION("GOOGLETRANSLATE(J246,""he"",""en"")"),"Happy Hippo Cocoa 21 g")</f>
        <v>Happy Hippo Cocoa 21 g</v>
      </c>
      <c r="L246" s="104" t="s">
        <v>1775</v>
      </c>
      <c r="M246" s="105" t="s">
        <v>6445</v>
      </c>
      <c r="N246" s="108" t="s">
        <v>6446</v>
      </c>
      <c r="O246" s="109"/>
      <c r="P246" s="109"/>
      <c r="Q246" s="115" t="s">
        <v>1774</v>
      </c>
      <c r="R246" s="120"/>
      <c r="S246" s="117"/>
      <c r="T246" s="117"/>
      <c r="U246" s="102"/>
      <c r="V246" s="102"/>
      <c r="W246" s="102"/>
      <c r="X246" s="102"/>
      <c r="Y246" s="102"/>
      <c r="Z246" s="102"/>
      <c r="AA246" s="102"/>
      <c r="AB246" s="102"/>
      <c r="AC246" s="113"/>
      <c r="AD246" s="113"/>
      <c r="AE246" s="113"/>
    </row>
    <row r="247">
      <c r="A247" s="114">
        <v>7.290008166775E12</v>
      </c>
      <c r="B247" s="104" t="str">
        <f t="shared" si="1"/>
        <v>Hativ_Fried Peanut, 200g</v>
      </c>
      <c r="C247" s="105">
        <v>0.12</v>
      </c>
      <c r="D247" s="105">
        <v>0.18</v>
      </c>
      <c r="E247" s="105">
        <v>0.03</v>
      </c>
      <c r="F247" s="106">
        <f>ROUND('Meta data'!$B$1/E247,0)</f>
        <v>10</v>
      </c>
      <c r="G247" s="107"/>
      <c r="H247" s="105" t="s">
        <v>1789</v>
      </c>
      <c r="I247" s="119" t="s">
        <v>1790</v>
      </c>
      <c r="J247" s="105" t="s">
        <v>1807</v>
      </c>
      <c r="K247" s="105" t="str">
        <f>IFERROR(__xludf.DUMMYFUNCTION("GOOGLETRANSLATE(J247,""he"",""en"")"),"Fried Peanut, 200g")</f>
        <v>Fried Peanut, 200g</v>
      </c>
      <c r="L247" s="104" t="s">
        <v>1812</v>
      </c>
      <c r="M247" s="105" t="s">
        <v>6365</v>
      </c>
      <c r="N247" s="108" t="s">
        <v>1810</v>
      </c>
      <c r="O247" s="109"/>
      <c r="P247" s="109"/>
      <c r="Q247" s="115" t="s">
        <v>1811</v>
      </c>
      <c r="R247" s="116"/>
      <c r="S247" s="118"/>
      <c r="T247" s="117"/>
      <c r="U247" s="102"/>
      <c r="V247" s="102"/>
      <c r="W247" s="102"/>
      <c r="X247" s="102"/>
      <c r="Y247" s="102"/>
      <c r="Z247" s="102"/>
      <c r="AA247" s="102"/>
      <c r="AB247" s="102"/>
      <c r="AC247" s="113"/>
      <c r="AD247" s="113"/>
      <c r="AE247" s="113"/>
    </row>
    <row r="248">
      <c r="A248" s="114">
        <v>7.290004532581E12</v>
      </c>
      <c r="B248" s="104" t="str">
        <f t="shared" si="1"/>
        <v>Hativ_Roasted peanuts, 200 g</v>
      </c>
      <c r="C248" s="105">
        <v>0.12</v>
      </c>
      <c r="D248" s="105">
        <v>0.18</v>
      </c>
      <c r="E248" s="105">
        <v>0.03</v>
      </c>
      <c r="F248" s="106">
        <f>ROUND('Meta data'!$B$1/E248,0)</f>
        <v>10</v>
      </c>
      <c r="G248" s="107"/>
      <c r="H248" s="105" t="s">
        <v>1789</v>
      </c>
      <c r="I248" s="119" t="s">
        <v>1790</v>
      </c>
      <c r="J248" s="105" t="s">
        <v>1845</v>
      </c>
      <c r="K248" s="105" t="str">
        <f>IFERROR(__xludf.DUMMYFUNCTION("GOOGLETRANSLATE(J248,""he"",""en"")"),"Roasted peanuts, 200 g")</f>
        <v>Roasted peanuts, 200 g</v>
      </c>
      <c r="L248" s="104" t="s">
        <v>1849</v>
      </c>
      <c r="M248" s="105" t="s">
        <v>6365</v>
      </c>
      <c r="N248" s="108" t="s">
        <v>1810</v>
      </c>
      <c r="O248" s="109"/>
      <c r="P248" s="109"/>
      <c r="Q248" s="115" t="s">
        <v>1848</v>
      </c>
      <c r="R248" s="116"/>
      <c r="S248" s="118"/>
      <c r="T248" s="117"/>
      <c r="U248" s="102"/>
      <c r="V248" s="102"/>
      <c r="W248" s="102"/>
      <c r="X248" s="102"/>
      <c r="Y248" s="102"/>
      <c r="Z248" s="102"/>
      <c r="AA248" s="102"/>
      <c r="AB248" s="102"/>
      <c r="AC248" s="113"/>
      <c r="AD248" s="113"/>
      <c r="AE248" s="113"/>
    </row>
    <row r="249">
      <c r="A249" s="114">
        <v>7.29000453213E12</v>
      </c>
      <c r="B249" s="104" t="str">
        <f t="shared" si="1"/>
        <v>Hativ_The American Peanut, 200g</v>
      </c>
      <c r="C249" s="105">
        <v>0.12</v>
      </c>
      <c r="D249" s="105">
        <v>0.18</v>
      </c>
      <c r="E249" s="105">
        <v>0.03</v>
      </c>
      <c r="F249" s="106">
        <f>ROUND('Meta data'!$B$1/E249,0)</f>
        <v>10</v>
      </c>
      <c r="G249" s="107"/>
      <c r="H249" s="105" t="s">
        <v>1789</v>
      </c>
      <c r="I249" s="119" t="s">
        <v>1790</v>
      </c>
      <c r="J249" s="105" t="s">
        <v>1851</v>
      </c>
      <c r="K249" s="105" t="str">
        <f>IFERROR(__xludf.DUMMYFUNCTION("GOOGLETRANSLATE(J249,""he"",""en"")"),"The American Peanut, 200g")</f>
        <v>The American Peanut, 200g</v>
      </c>
      <c r="L249" s="104" t="s">
        <v>1856</v>
      </c>
      <c r="M249" s="105" t="s">
        <v>6365</v>
      </c>
      <c r="N249" s="108" t="s">
        <v>6366</v>
      </c>
      <c r="O249" s="109"/>
      <c r="P249" s="109"/>
      <c r="Q249" s="111" t="s">
        <v>1855</v>
      </c>
      <c r="R249" s="111"/>
      <c r="S249" s="118"/>
      <c r="T249" s="112"/>
      <c r="U249" s="102"/>
      <c r="V249" s="102"/>
      <c r="W249" s="102"/>
      <c r="X249" s="102"/>
      <c r="Y249" s="102"/>
      <c r="Z249" s="102"/>
      <c r="AA249" s="102"/>
      <c r="AB249" s="102"/>
      <c r="AC249" s="113"/>
      <c r="AD249" s="113"/>
      <c r="AE249" s="113"/>
    </row>
    <row r="250">
      <c r="A250" s="114">
        <v>7.290004532062E12</v>
      </c>
      <c r="B250" s="104" t="str">
        <f t="shared" si="1"/>
        <v>Hativ_Watermelon seeds, 200 g</v>
      </c>
      <c r="C250" s="105">
        <v>0.12</v>
      </c>
      <c r="D250" s="105">
        <v>0.18</v>
      </c>
      <c r="E250" s="105">
        <v>0.03</v>
      </c>
      <c r="F250" s="106">
        <f>ROUND('Meta data'!$B$1/E250,0)</f>
        <v>10</v>
      </c>
      <c r="G250" s="107"/>
      <c r="H250" s="105" t="s">
        <v>1789</v>
      </c>
      <c r="I250" s="119" t="s">
        <v>1790</v>
      </c>
      <c r="J250" s="105" t="s">
        <v>1858</v>
      </c>
      <c r="K250" s="105" t="str">
        <f>IFERROR(__xludf.DUMMYFUNCTION("GOOGLETRANSLATE(J250,""he"",""en"")"),"Watermelon seeds, 200 g")</f>
        <v>Watermelon seeds, 200 g</v>
      </c>
      <c r="L250" s="104" t="s">
        <v>1863</v>
      </c>
      <c r="M250" s="105" t="s">
        <v>6365</v>
      </c>
      <c r="N250" s="108" t="s">
        <v>1861</v>
      </c>
      <c r="O250" s="109"/>
      <c r="P250" s="109"/>
      <c r="Q250" s="115" t="s">
        <v>1862</v>
      </c>
      <c r="R250" s="115"/>
      <c r="S250" s="117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13"/>
      <c r="AD250" s="113"/>
      <c r="AE250" s="113"/>
    </row>
    <row r="251">
      <c r="A251" s="114">
        <v>7.290004532574E12</v>
      </c>
      <c r="B251" s="104" t="str">
        <f t="shared" si="1"/>
        <v>Hativ_Black core of the nature, 200g</v>
      </c>
      <c r="C251" s="105">
        <v>0.12</v>
      </c>
      <c r="D251" s="105">
        <v>0.18</v>
      </c>
      <c r="E251" s="105">
        <v>0.03</v>
      </c>
      <c r="F251" s="106">
        <f>ROUND('Meta data'!$B$1/E251,0)</f>
        <v>10</v>
      </c>
      <c r="G251" s="107"/>
      <c r="H251" s="105" t="s">
        <v>1789</v>
      </c>
      <c r="I251" s="119" t="s">
        <v>1790</v>
      </c>
      <c r="J251" s="105" t="s">
        <v>1800</v>
      </c>
      <c r="K251" s="105" t="str">
        <f>IFERROR(__xludf.DUMMYFUNCTION("GOOGLETRANSLATE(J251,""he"",""en"")"),"Black core of the nature, 200g")</f>
        <v>Black core of the nature, 200g</v>
      </c>
      <c r="L251" s="104" t="s">
        <v>1805</v>
      </c>
      <c r="M251" s="105" t="s">
        <v>6365</v>
      </c>
      <c r="N251" s="108" t="s">
        <v>1803</v>
      </c>
      <c r="O251" s="109"/>
      <c r="P251" s="109"/>
      <c r="Q251" s="115" t="s">
        <v>1804</v>
      </c>
      <c r="R251" s="116"/>
      <c r="S251" s="118"/>
      <c r="T251" s="117"/>
      <c r="U251" s="102"/>
      <c r="V251" s="102"/>
      <c r="W251" s="102"/>
      <c r="X251" s="102"/>
      <c r="Y251" s="102"/>
      <c r="Z251" s="102"/>
      <c r="AA251" s="102"/>
      <c r="AB251" s="102"/>
      <c r="AC251" s="113"/>
      <c r="AD251" s="113"/>
      <c r="AE251" s="113"/>
    </row>
    <row r="252">
      <c r="A252" s="114">
        <v>7.290004532123E12</v>
      </c>
      <c r="B252" s="104" t="str">
        <f t="shared" si="1"/>
        <v>Hativ_Pistachios, 200 g</v>
      </c>
      <c r="C252" s="105">
        <v>0.12</v>
      </c>
      <c r="D252" s="105">
        <v>0.18</v>
      </c>
      <c r="E252" s="105">
        <v>0.03</v>
      </c>
      <c r="F252" s="106">
        <f>ROUND('Meta data'!$B$1/E252,0)</f>
        <v>10</v>
      </c>
      <c r="G252" s="107"/>
      <c r="H252" s="105" t="s">
        <v>1789</v>
      </c>
      <c r="I252" s="119" t="s">
        <v>1790</v>
      </c>
      <c r="J252" s="105" t="s">
        <v>1825</v>
      </c>
      <c r="K252" s="105" t="str">
        <f>IFERROR(__xludf.DUMMYFUNCTION("GOOGLETRANSLATE(J252,""he"",""en"")"),"Pistachios, 200 g")</f>
        <v>Pistachios, 200 g</v>
      </c>
      <c r="L252" s="104" t="s">
        <v>1830</v>
      </c>
      <c r="M252" s="105" t="s">
        <v>6365</v>
      </c>
      <c r="N252" s="108" t="s">
        <v>1828</v>
      </c>
      <c r="O252" s="109"/>
      <c r="P252" s="109"/>
      <c r="Q252" s="115" t="s">
        <v>1829</v>
      </c>
      <c r="R252" s="116"/>
      <c r="S252" s="118"/>
      <c r="T252" s="117"/>
      <c r="U252" s="102"/>
      <c r="V252" s="102"/>
      <c r="W252" s="102"/>
      <c r="X252" s="102"/>
      <c r="Y252" s="102"/>
      <c r="Z252" s="102"/>
      <c r="AA252" s="102"/>
      <c r="AB252" s="102"/>
      <c r="AC252" s="113"/>
      <c r="AD252" s="113"/>
      <c r="AE252" s="113"/>
    </row>
    <row r="253">
      <c r="A253" s="114">
        <v>7.29000014838E12</v>
      </c>
      <c r="B253" s="104" t="str">
        <f t="shared" si="1"/>
        <v>Hativ_Roasted pistachios. 200 g roasting the nature</v>
      </c>
      <c r="C253" s="105">
        <v>0.14</v>
      </c>
      <c r="D253" s="105">
        <v>0.19</v>
      </c>
      <c r="E253" s="105">
        <v>0.02</v>
      </c>
      <c r="F253" s="106">
        <f>ROUND('Meta data'!$B$1/E253,0)</f>
        <v>15</v>
      </c>
      <c r="G253" s="107"/>
      <c r="H253" s="105" t="s">
        <v>1789</v>
      </c>
      <c r="I253" s="119" t="s">
        <v>1790</v>
      </c>
      <c r="J253" s="105" t="s">
        <v>6447</v>
      </c>
      <c r="K253" s="105" t="str">
        <f>IFERROR(__xludf.DUMMYFUNCTION("GOOGLETRANSLATE(J253,""he"",""en"")"),"Roasted pistachios. 200 g roasting the nature")</f>
        <v>Roasted pistachios. 200 g roasting the nature</v>
      </c>
      <c r="L253" s="104" t="s">
        <v>2281</v>
      </c>
      <c r="M253" s="105" t="s">
        <v>6365</v>
      </c>
      <c r="N253" s="108" t="s">
        <v>1828</v>
      </c>
      <c r="O253" s="109"/>
      <c r="P253" s="109"/>
      <c r="Q253" s="115" t="s">
        <v>2280</v>
      </c>
      <c r="R253" s="116"/>
      <c r="S253" s="118"/>
      <c r="T253" s="117"/>
      <c r="U253" s="102"/>
      <c r="V253" s="102"/>
      <c r="W253" s="102"/>
      <c r="X253" s="102"/>
      <c r="Y253" s="102"/>
      <c r="Z253" s="102"/>
      <c r="AA253" s="102"/>
      <c r="AB253" s="102"/>
      <c r="AC253" s="113"/>
      <c r="AD253" s="113"/>
      <c r="AE253" s="113"/>
    </row>
    <row r="254">
      <c r="A254" s="114">
        <v>7.290004532086E12</v>
      </c>
      <c r="B254" s="104" t="str">
        <f t="shared" si="1"/>
        <v>Hativ_Roasted cashews, 200 g</v>
      </c>
      <c r="C254" s="105">
        <v>0.12</v>
      </c>
      <c r="D254" s="105">
        <v>0.18</v>
      </c>
      <c r="E254" s="105">
        <v>0.03</v>
      </c>
      <c r="F254" s="106">
        <f>ROUND('Meta data'!$B$1/E254,0)</f>
        <v>10</v>
      </c>
      <c r="G254" s="107"/>
      <c r="H254" s="105" t="s">
        <v>1789</v>
      </c>
      <c r="I254" s="119" t="s">
        <v>1790</v>
      </c>
      <c r="J254" s="105" t="s">
        <v>1838</v>
      </c>
      <c r="K254" s="105" t="str">
        <f>IFERROR(__xludf.DUMMYFUNCTION("GOOGLETRANSLATE(J254,""he"",""en"")"),"Roasted cashews, 200 g")</f>
        <v>Roasted cashews, 200 g</v>
      </c>
      <c r="L254" s="104" t="s">
        <v>1843</v>
      </c>
      <c r="M254" s="105" t="s">
        <v>6365</v>
      </c>
      <c r="N254" s="108" t="s">
        <v>1841</v>
      </c>
      <c r="O254" s="109"/>
      <c r="P254" s="109"/>
      <c r="Q254" s="111" t="s">
        <v>1842</v>
      </c>
      <c r="R254" s="111"/>
      <c r="S254" s="11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13"/>
      <c r="AD254" s="113"/>
      <c r="AE254" s="113"/>
    </row>
    <row r="255">
      <c r="A255" s="114">
        <v>7.290004532161E12</v>
      </c>
      <c r="B255" s="104" t="str">
        <f t="shared" si="1"/>
        <v>Hativ_Almndos, 200 g</v>
      </c>
      <c r="C255" s="105">
        <v>0.12</v>
      </c>
      <c r="D255" s="105">
        <v>0.18</v>
      </c>
      <c r="E255" s="105">
        <v>0.03</v>
      </c>
      <c r="F255" s="106">
        <f>ROUND('Meta data'!$B$1/E255,0)</f>
        <v>10</v>
      </c>
      <c r="G255" s="107"/>
      <c r="H255" s="105" t="s">
        <v>1789</v>
      </c>
      <c r="I255" s="119" t="s">
        <v>1790</v>
      </c>
      <c r="J255" s="105" t="s">
        <v>1791</v>
      </c>
      <c r="K255" s="105" t="str">
        <f>IFERROR(__xludf.DUMMYFUNCTION("GOOGLETRANSLATE(J255,""he"",""en"")"),"Almndos, 200 g")</f>
        <v>Almndos, 200 g</v>
      </c>
      <c r="L255" s="104" t="s">
        <v>1797</v>
      </c>
      <c r="M255" s="105" t="s">
        <v>6365</v>
      </c>
      <c r="N255" s="108" t="s">
        <v>6448</v>
      </c>
      <c r="O255" s="109"/>
      <c r="P255" s="109"/>
      <c r="Q255" s="115" t="s">
        <v>1796</v>
      </c>
      <c r="R255" s="116"/>
      <c r="S255" s="117"/>
      <c r="T255" s="121"/>
      <c r="U255" s="102"/>
      <c r="V255" s="102"/>
      <c r="W255" s="102"/>
      <c r="X255" s="102"/>
      <c r="Y255" s="102"/>
      <c r="Z255" s="102"/>
      <c r="AA255" s="102"/>
      <c r="AB255" s="102"/>
      <c r="AC255" s="113"/>
      <c r="AD255" s="113"/>
      <c r="AE255" s="113"/>
    </row>
    <row r="256">
      <c r="A256" s="114">
        <v>7.290014241589E12</v>
      </c>
      <c r="B256" s="104" t="str">
        <f t="shared" si="1"/>
        <v>Hativ_Mixed Nuts and Cranberries Naturally the nature 150g</v>
      </c>
      <c r="C256" s="105">
        <v>0.12</v>
      </c>
      <c r="D256" s="105">
        <v>0.18</v>
      </c>
      <c r="E256" s="105">
        <v>0.03</v>
      </c>
      <c r="F256" s="106">
        <f>ROUND('Meta data'!$B$1/E256,0)</f>
        <v>10</v>
      </c>
      <c r="G256" s="107"/>
      <c r="H256" s="105" t="s">
        <v>1789</v>
      </c>
      <c r="I256" s="119" t="s">
        <v>1790</v>
      </c>
      <c r="J256" s="105" t="s">
        <v>1814</v>
      </c>
      <c r="K256" s="105" t="str">
        <f>IFERROR(__xludf.DUMMYFUNCTION("GOOGLETRANSLATE(J256,""he"",""en"")"),"Mixed Nuts and Cranberries Naturally the nature 150g")</f>
        <v>Mixed Nuts and Cranberries Naturally the nature 150g</v>
      </c>
      <c r="L256" s="104" t="s">
        <v>1816</v>
      </c>
      <c r="M256" s="105" t="s">
        <v>6365</v>
      </c>
      <c r="N256" s="108" t="s">
        <v>6448</v>
      </c>
      <c r="O256" s="109"/>
      <c r="P256" s="109"/>
      <c r="Q256" s="115" t="s">
        <v>1817</v>
      </c>
      <c r="R256" s="116"/>
      <c r="S256" s="129"/>
      <c r="T256" s="117"/>
      <c r="U256" s="117"/>
      <c r="V256" s="117"/>
      <c r="W256" s="102"/>
      <c r="X256" s="102"/>
      <c r="Y256" s="102"/>
      <c r="Z256" s="102"/>
      <c r="AA256" s="102"/>
      <c r="AB256" s="102"/>
      <c r="AC256" s="113"/>
      <c r="AD256" s="113"/>
      <c r="AE256" s="113"/>
    </row>
    <row r="257">
      <c r="A257" s="114">
        <v>7.290004532369E12</v>
      </c>
      <c r="B257" s="104" t="str">
        <f t="shared" si="1"/>
        <v>Hativ_Mntzs snack spicy rice, 180 grams</v>
      </c>
      <c r="C257" s="105">
        <v>0.12</v>
      </c>
      <c r="D257" s="105">
        <v>0.18</v>
      </c>
      <c r="E257" s="105">
        <v>0.03</v>
      </c>
      <c r="F257" s="106">
        <f>ROUND('Meta data'!$B$1/E257,0)</f>
        <v>10</v>
      </c>
      <c r="G257" s="107"/>
      <c r="H257" s="105" t="s">
        <v>1789</v>
      </c>
      <c r="I257" s="119" t="s">
        <v>1790</v>
      </c>
      <c r="J257" s="105" t="s">
        <v>1819</v>
      </c>
      <c r="K257" s="105" t="str">
        <f>IFERROR(__xludf.DUMMYFUNCTION("GOOGLETRANSLATE(J257,""he"",""en"")"),"Mntzs snack spicy rice, 180 grams")</f>
        <v>Mntzs snack spicy rice, 180 grams</v>
      </c>
      <c r="L257" s="104" t="s">
        <v>1823</v>
      </c>
      <c r="M257" s="105" t="s">
        <v>6365</v>
      </c>
      <c r="N257" s="108" t="s">
        <v>6448</v>
      </c>
      <c r="O257" s="109"/>
      <c r="P257" s="109"/>
      <c r="Q257" s="115" t="s">
        <v>1822</v>
      </c>
      <c r="R257" s="116"/>
      <c r="S257" s="117"/>
      <c r="T257" s="117"/>
      <c r="U257" s="118"/>
      <c r="V257" s="117"/>
      <c r="W257" s="102"/>
      <c r="X257" s="102"/>
      <c r="Y257" s="102"/>
      <c r="Z257" s="102"/>
      <c r="AA257" s="102"/>
      <c r="AB257" s="102"/>
      <c r="AC257" s="113"/>
      <c r="AD257" s="113"/>
      <c r="AE257" s="113"/>
    </row>
    <row r="258">
      <c r="A258" s="114">
        <v>7.29000816601E12</v>
      </c>
      <c r="B258" s="104" t="str">
        <f t="shared" si="1"/>
        <v>Hativ_Premium nuts, 200g</v>
      </c>
      <c r="C258" s="105">
        <v>0.12</v>
      </c>
      <c r="D258" s="105">
        <v>0.18</v>
      </c>
      <c r="E258" s="105">
        <v>0.03</v>
      </c>
      <c r="F258" s="106">
        <f>ROUND('Meta data'!$B$1/E258,0)</f>
        <v>10</v>
      </c>
      <c r="G258" s="107"/>
      <c r="H258" s="105" t="s">
        <v>1789</v>
      </c>
      <c r="I258" s="119" t="s">
        <v>1790</v>
      </c>
      <c r="J258" s="105" t="s">
        <v>1832</v>
      </c>
      <c r="K258" s="105" t="str">
        <f>IFERROR(__xludf.DUMMYFUNCTION("GOOGLETRANSLATE(J258,""he"",""en"")"),"Premium nuts, 200g")</f>
        <v>Premium nuts, 200g</v>
      </c>
      <c r="L258" s="104" t="s">
        <v>1836</v>
      </c>
      <c r="M258" s="105" t="s">
        <v>6365</v>
      </c>
      <c r="N258" s="108" t="s">
        <v>6448</v>
      </c>
      <c r="O258" s="109"/>
      <c r="P258" s="109"/>
      <c r="Q258" s="115" t="s">
        <v>1835</v>
      </c>
      <c r="R258" s="116"/>
      <c r="S258" s="117"/>
      <c r="T258" s="117"/>
      <c r="U258" s="118"/>
      <c r="V258" s="117"/>
      <c r="W258" s="102"/>
      <c r="X258" s="102"/>
      <c r="Y258" s="102"/>
      <c r="Z258" s="102"/>
      <c r="AA258" s="102"/>
      <c r="AB258" s="102"/>
      <c r="AC258" s="113"/>
      <c r="AD258" s="113"/>
      <c r="AE258" s="113"/>
    </row>
    <row r="259">
      <c r="A259" s="114">
        <v>7.290010237685E12</v>
      </c>
      <c r="B259" s="104" t="str">
        <f t="shared" si="1"/>
        <v>Heineken_Heineken beer, a bottle of 330 ml</v>
      </c>
      <c r="C259" s="105">
        <v>0.06</v>
      </c>
      <c r="D259" s="105">
        <v>0.23</v>
      </c>
      <c r="E259" s="105">
        <v>0.06</v>
      </c>
      <c r="F259" s="106">
        <f>ROUND('Meta data'!$B$1/E259,0)</f>
        <v>5</v>
      </c>
      <c r="G259" s="107"/>
      <c r="H259" s="105" t="s">
        <v>1865</v>
      </c>
      <c r="I259" s="105" t="str">
        <f>IFERROR(__xludf.DUMMYFUNCTION("GOOGLETRANSLATE(H259,""he"",""en"")"),"Heineken")</f>
        <v>Heineken</v>
      </c>
      <c r="J259" s="105" t="s">
        <v>1874</v>
      </c>
      <c r="K259" s="105" t="str">
        <f>IFERROR(__xludf.DUMMYFUNCTION("GOOGLETRANSLATE(J259,""he"",""en"")"),"Heineken beer, a bottle of 330 ml")</f>
        <v>Heineken beer, a bottle of 330 ml</v>
      </c>
      <c r="L259" s="104" t="s">
        <v>1878</v>
      </c>
      <c r="M259" s="105" t="s">
        <v>6332</v>
      </c>
      <c r="N259" s="108" t="s">
        <v>6338</v>
      </c>
      <c r="O259" s="109"/>
      <c r="P259" s="109"/>
      <c r="Q259" s="115" t="s">
        <v>1877</v>
      </c>
      <c r="R259" s="116"/>
      <c r="S259" s="117"/>
      <c r="T259" s="117"/>
      <c r="U259" s="118"/>
      <c r="V259" s="102"/>
      <c r="W259" s="102"/>
      <c r="X259" s="102"/>
      <c r="Y259" s="102"/>
      <c r="Z259" s="102"/>
      <c r="AA259" s="102"/>
      <c r="AB259" s="102"/>
      <c r="AC259" s="113"/>
      <c r="AD259" s="113"/>
      <c r="AE259" s="113"/>
    </row>
    <row r="260">
      <c r="A260" s="114">
        <v>7.290008464604E12</v>
      </c>
      <c r="B260" s="104" t="str">
        <f t="shared" si="1"/>
        <v>Heineken_Heineken can of 500 ml</v>
      </c>
      <c r="C260" s="105">
        <v>0.065</v>
      </c>
      <c r="D260" s="105">
        <v>0.17</v>
      </c>
      <c r="E260" s="105">
        <v>0.065</v>
      </c>
      <c r="F260" s="106">
        <f>ROUND('Meta data'!$B$1/E260,0)</f>
        <v>5</v>
      </c>
      <c r="G260" s="107"/>
      <c r="H260" s="105" t="s">
        <v>1865</v>
      </c>
      <c r="I260" s="105" t="str">
        <f>IFERROR(__xludf.DUMMYFUNCTION("GOOGLETRANSLATE(H260,""he"",""en"")"),"Heineken")</f>
        <v>Heineken</v>
      </c>
      <c r="J260" s="105" t="s">
        <v>1880</v>
      </c>
      <c r="K260" s="105" t="str">
        <f>IFERROR(__xludf.DUMMYFUNCTION("GOOGLETRANSLATE(J260,""he"",""en"")"),"Heineken can of 500 ml")</f>
        <v>Heineken can of 500 ml</v>
      </c>
      <c r="L260" s="104" t="s">
        <v>1884</v>
      </c>
      <c r="M260" s="105" t="s">
        <v>6332</v>
      </c>
      <c r="N260" s="108" t="s">
        <v>6341</v>
      </c>
      <c r="O260" s="109"/>
      <c r="P260" s="109"/>
      <c r="Q260" s="111" t="s">
        <v>1883</v>
      </c>
      <c r="R260" s="111"/>
      <c r="S260" s="112"/>
      <c r="T260" s="112"/>
      <c r="U260" s="118"/>
      <c r="V260" s="112"/>
      <c r="W260" s="102"/>
      <c r="X260" s="102"/>
      <c r="Y260" s="102"/>
      <c r="Z260" s="102"/>
      <c r="AA260" s="102"/>
      <c r="AB260" s="102"/>
      <c r="AC260" s="113"/>
      <c r="AD260" s="113"/>
      <c r="AE260" s="113"/>
    </row>
    <row r="261">
      <c r="A261" s="114">
        <v>8.712000050146E12</v>
      </c>
      <c r="B261" s="104" t="str">
        <f t="shared" si="1"/>
        <v>Heineken_Heineken beer without alcohol in 330 ml bottle</v>
      </c>
      <c r="C261" s="105">
        <v>0.06</v>
      </c>
      <c r="D261" s="105">
        <v>0.23</v>
      </c>
      <c r="E261" s="105">
        <v>0.06</v>
      </c>
      <c r="F261" s="106">
        <f>ROUND('Meta data'!$B$1/E261,0)</f>
        <v>5</v>
      </c>
      <c r="G261" s="107"/>
      <c r="H261" s="105" t="s">
        <v>1865</v>
      </c>
      <c r="I261" s="105" t="str">
        <f>IFERROR(__xludf.DUMMYFUNCTION("GOOGLETRANSLATE(H261,""he"",""en"")"),"Heineken")</f>
        <v>Heineken</v>
      </c>
      <c r="J261" s="105" t="s">
        <v>1866</v>
      </c>
      <c r="K261" s="105" t="str">
        <f>IFERROR(__xludf.DUMMYFUNCTION("GOOGLETRANSLATE(J261,""he"",""en"")"),"Heineken beer without alcohol in 330 ml bottle")</f>
        <v>Heineken beer without alcohol in 330 ml bottle</v>
      </c>
      <c r="L261" s="104" t="s">
        <v>1872</v>
      </c>
      <c r="M261" s="105" t="s">
        <v>6449</v>
      </c>
      <c r="N261" s="108" t="s">
        <v>6450</v>
      </c>
      <c r="O261" s="109"/>
      <c r="P261" s="109"/>
      <c r="Q261" s="111" t="s">
        <v>1871</v>
      </c>
      <c r="R261" s="111"/>
      <c r="S261" s="11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13"/>
      <c r="AD261" s="113"/>
      <c r="AE261" s="113"/>
    </row>
    <row r="262">
      <c r="A262" s="114">
        <v>7.29010068065E12</v>
      </c>
      <c r="B262" s="104" t="str">
        <f t="shared" si="1"/>
        <v>Hot-dish_Noodle hot dish. + 6 Thai vegetables 6 * 76 g</v>
      </c>
      <c r="C262" s="105">
        <v>0.08</v>
      </c>
      <c r="D262" s="105">
        <v>0.09999999</v>
      </c>
      <c r="E262" s="105">
        <v>0.02</v>
      </c>
      <c r="F262" s="106">
        <f>ROUND('Meta data'!$B$1/E262,0)</f>
        <v>15</v>
      </c>
      <c r="G262" s="107"/>
      <c r="H262" s="105" t="s">
        <v>2512</v>
      </c>
      <c r="I262" s="105" t="str">
        <f>IFERROR(__xludf.DUMMYFUNCTION("GOOGLETRANSLATE(H262,""he"",""en"")"),"Hot dish")</f>
        <v>Hot dish</v>
      </c>
      <c r="J262" s="105" t="s">
        <v>2542</v>
      </c>
      <c r="K262" s="105" t="str">
        <f>IFERROR(__xludf.DUMMYFUNCTION("GOOGLETRANSLATE(J262,""he"",""en"")"),"Noodle hot dish. + 6 Thai vegetables 6 * 76 g")</f>
        <v>Noodle hot dish. + 6 Thai vegetables 6 * 76 g</v>
      </c>
      <c r="L262" s="104" t="s">
        <v>2546</v>
      </c>
      <c r="M262" s="105" t="s">
        <v>6451</v>
      </c>
      <c r="N262" s="108" t="s">
        <v>6452</v>
      </c>
      <c r="O262" s="109"/>
      <c r="P262" s="109"/>
      <c r="Q262" s="115" t="s">
        <v>2545</v>
      </c>
      <c r="R262" s="116"/>
      <c r="S262" s="117"/>
      <c r="T262" s="117"/>
      <c r="U262" s="118"/>
      <c r="V262" s="117"/>
      <c r="W262" s="102"/>
      <c r="X262" s="102"/>
      <c r="Y262" s="102"/>
      <c r="Z262" s="102"/>
      <c r="AA262" s="102"/>
      <c r="AB262" s="102"/>
      <c r="AC262" s="113"/>
      <c r="AD262" s="113"/>
      <c r="AE262" s="113"/>
    </row>
    <row r="263">
      <c r="A263" s="114">
        <v>73750.0</v>
      </c>
      <c r="B263" s="104" t="str">
        <f t="shared" si="1"/>
        <v>Hot-dish_Hot dish chicken flavored noodles 70g</v>
      </c>
      <c r="C263" s="105">
        <v>0.08</v>
      </c>
      <c r="D263" s="105">
        <v>0.09999999</v>
      </c>
      <c r="E263" s="105">
        <v>0.02</v>
      </c>
      <c r="F263" s="106">
        <f>ROUND('Meta data'!$B$1/E263,0)</f>
        <v>15</v>
      </c>
      <c r="G263" s="107"/>
      <c r="H263" s="105" t="s">
        <v>2512</v>
      </c>
      <c r="I263" s="105" t="str">
        <f>IFERROR(__xludf.DUMMYFUNCTION("GOOGLETRANSLATE(H263,""he"",""en"")"),"Hot dish")</f>
        <v>Hot dish</v>
      </c>
      <c r="J263" s="105" t="s">
        <v>2515</v>
      </c>
      <c r="K263" s="105" t="str">
        <f>IFERROR(__xludf.DUMMYFUNCTION("GOOGLETRANSLATE(J263,""he"",""en"")"),"Hot dish chicken flavored noodles 70g")</f>
        <v>Hot dish chicken flavored noodles 70g</v>
      </c>
      <c r="L263" s="104" t="s">
        <v>2521</v>
      </c>
      <c r="M263" s="105" t="s">
        <v>6451</v>
      </c>
      <c r="N263" s="108" t="s">
        <v>6452</v>
      </c>
      <c r="O263" s="109"/>
      <c r="P263" s="109"/>
      <c r="Q263" s="115" t="s">
        <v>2520</v>
      </c>
      <c r="R263" s="116"/>
      <c r="S263" s="117"/>
      <c r="T263" s="118"/>
      <c r="U263" s="117"/>
      <c r="V263" s="102"/>
      <c r="W263" s="102"/>
      <c r="X263" s="102"/>
      <c r="Y263" s="102"/>
      <c r="Z263" s="102"/>
      <c r="AA263" s="102"/>
      <c r="AB263" s="102"/>
      <c r="AC263" s="113"/>
      <c r="AD263" s="113"/>
      <c r="AE263" s="113"/>
    </row>
    <row r="264">
      <c r="A264" s="114">
        <v>7.290112969538E12</v>
      </c>
      <c r="B264" s="104" t="str">
        <f t="shared" si="1"/>
        <v>Hot-dish_Hot dish spicy Vietnamese noodles 6 6 * 75g</v>
      </c>
      <c r="C264" s="105">
        <v>0.08</v>
      </c>
      <c r="D264" s="105">
        <v>0.09999999</v>
      </c>
      <c r="E264" s="105">
        <v>0.07</v>
      </c>
      <c r="F264" s="106">
        <f>ROUND('Meta data'!$B$1/E264,0)</f>
        <v>4</v>
      </c>
      <c r="G264" s="107"/>
      <c r="H264" s="105" t="s">
        <v>2512</v>
      </c>
      <c r="I264" s="105" t="str">
        <f>IFERROR(__xludf.DUMMYFUNCTION("GOOGLETRANSLATE(H264,""he"",""en"")"),"Hot dish")</f>
        <v>Hot dish</v>
      </c>
      <c r="J264" s="105" t="s">
        <v>2536</v>
      </c>
      <c r="K264" s="105" t="str">
        <f>IFERROR(__xludf.DUMMYFUNCTION("GOOGLETRANSLATE(J264,""he"",""en"")"),"Hot dish spicy Vietnamese noodles 6 6 * 75g")</f>
        <v>Hot dish spicy Vietnamese noodles 6 6 * 75g</v>
      </c>
      <c r="L264" s="104" t="s">
        <v>2540</v>
      </c>
      <c r="M264" s="105" t="s">
        <v>6451</v>
      </c>
      <c r="N264" s="108" t="s">
        <v>6452</v>
      </c>
      <c r="O264" s="109"/>
      <c r="P264" s="109"/>
      <c r="Q264" s="115" t="s">
        <v>2539</v>
      </c>
      <c r="R264" s="116"/>
      <c r="S264" s="124"/>
      <c r="T264" s="117"/>
      <c r="U264" s="102"/>
      <c r="V264" s="102"/>
      <c r="W264" s="102"/>
      <c r="X264" s="102"/>
      <c r="Y264" s="102"/>
      <c r="Z264" s="102"/>
      <c r="AA264" s="102"/>
      <c r="AB264" s="102"/>
      <c r="AC264" s="113"/>
      <c r="AD264" s="113"/>
      <c r="AE264" s="113"/>
    </row>
    <row r="265">
      <c r="A265" s="114">
        <v>7.290112969965E12</v>
      </c>
      <c r="B265" s="104" t="str">
        <f t="shared" si="1"/>
        <v>Hot-dish_Thai noodle dish spicy hot 6 6 * 75g</v>
      </c>
      <c r="C265" s="105">
        <v>0.08</v>
      </c>
      <c r="D265" s="105">
        <v>0.09999999</v>
      </c>
      <c r="E265" s="105">
        <v>0.07</v>
      </c>
      <c r="F265" s="106">
        <f>ROUND('Meta data'!$B$1/E265,0)</f>
        <v>4</v>
      </c>
      <c r="G265" s="107"/>
      <c r="H265" s="105" t="s">
        <v>2512</v>
      </c>
      <c r="I265" s="105" t="str">
        <f>IFERROR(__xludf.DUMMYFUNCTION("GOOGLETRANSLATE(H265,""he"",""en"")"),"Hot dish")</f>
        <v>Hot dish</v>
      </c>
      <c r="J265" s="105" t="s">
        <v>2548</v>
      </c>
      <c r="K265" s="105" t="str">
        <f>IFERROR(__xludf.DUMMYFUNCTION("GOOGLETRANSLATE(J265,""he"",""en"")"),"Thai noodle dish spicy hot 6 6 * 75g")</f>
        <v>Thai noodle dish spicy hot 6 6 * 75g</v>
      </c>
      <c r="L265" s="104" t="s">
        <v>2552</v>
      </c>
      <c r="M265" s="105" t="s">
        <v>6451</v>
      </c>
      <c r="N265" s="108" t="s">
        <v>6452</v>
      </c>
      <c r="O265" s="109"/>
      <c r="P265" s="109"/>
      <c r="Q265" s="115" t="s">
        <v>2551</v>
      </c>
      <c r="R265" s="116"/>
      <c r="S265" s="124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13"/>
      <c r="AD265" s="113"/>
      <c r="AE265" s="113"/>
    </row>
    <row r="266">
      <c r="A266" s="114">
        <v>67599.0</v>
      </c>
      <c r="B266" s="104" t="str">
        <f t="shared" si="1"/>
        <v>Hot-dish_Hot dish of spaghetti bolognese 12 * 65 g</v>
      </c>
      <c r="C266" s="105">
        <v>0.08</v>
      </c>
      <c r="D266" s="105">
        <v>0.09999999</v>
      </c>
      <c r="E266" s="105">
        <v>0.02</v>
      </c>
      <c r="F266" s="106">
        <f>ROUND('Meta data'!$B$1/E266,0)</f>
        <v>15</v>
      </c>
      <c r="G266" s="107"/>
      <c r="H266" s="105" t="s">
        <v>2512</v>
      </c>
      <c r="I266" s="105" t="str">
        <f>IFERROR(__xludf.DUMMYFUNCTION("GOOGLETRANSLATE(H266,""he"",""en"")"),"Hot dish")</f>
        <v>Hot dish</v>
      </c>
      <c r="J266" s="105" t="s">
        <v>2530</v>
      </c>
      <c r="K266" s="105" t="str">
        <f>IFERROR(__xludf.DUMMYFUNCTION("GOOGLETRANSLATE(J266,""he"",""en"")"),"Hot dish of spaghetti bolognese 12 * 65 g")</f>
        <v>Hot dish of spaghetti bolognese 12 * 65 g</v>
      </c>
      <c r="L266" s="104" t="s">
        <v>2534</v>
      </c>
      <c r="M266" s="105" t="s">
        <v>6451</v>
      </c>
      <c r="N266" s="108" t="s">
        <v>6452</v>
      </c>
      <c r="O266" s="109"/>
      <c r="P266" s="109"/>
      <c r="Q266" s="115" t="s">
        <v>2533</v>
      </c>
      <c r="R266" s="116"/>
      <c r="S266" s="118"/>
      <c r="T266" s="117"/>
      <c r="U266" s="102"/>
      <c r="V266" s="102"/>
      <c r="W266" s="102"/>
      <c r="X266" s="102"/>
      <c r="Y266" s="102"/>
      <c r="Z266" s="102"/>
      <c r="AA266" s="102"/>
      <c r="AB266" s="102"/>
      <c r="AC266" s="113"/>
      <c r="AD266" s="113"/>
      <c r="AE266" s="113"/>
    </row>
    <row r="267">
      <c r="A267" s="114">
        <v>65557.0</v>
      </c>
      <c r="B267" s="104" t="str">
        <f t="shared" si="1"/>
        <v>Hot-dish_Hot dish of couscous and vegetables December 12 * 84 g</v>
      </c>
      <c r="C267" s="105">
        <v>0.08</v>
      </c>
      <c r="D267" s="105">
        <v>0.09999999</v>
      </c>
      <c r="E267" s="105">
        <v>0.02</v>
      </c>
      <c r="F267" s="106">
        <f>ROUND('Meta data'!$B$1/E267,0)</f>
        <v>15</v>
      </c>
      <c r="G267" s="107"/>
      <c r="H267" s="105" t="s">
        <v>2512</v>
      </c>
      <c r="I267" s="105" t="str">
        <f>IFERROR(__xludf.DUMMYFUNCTION("GOOGLETRANSLATE(H267,""he"",""en"")"),"Hot dish")</f>
        <v>Hot dish</v>
      </c>
      <c r="J267" s="105" t="s">
        <v>2524</v>
      </c>
      <c r="K267" s="105" t="str">
        <f>IFERROR(__xludf.DUMMYFUNCTION("GOOGLETRANSLATE(J267,""he"",""en"")"),"Hot dish of couscous and vegetables December 12 * 84 g")</f>
        <v>Hot dish of couscous and vegetables December 12 * 84 g</v>
      </c>
      <c r="L267" s="104" t="s">
        <v>2528</v>
      </c>
      <c r="M267" s="105" t="s">
        <v>6451</v>
      </c>
      <c r="N267" s="108" t="s">
        <v>6452</v>
      </c>
      <c r="O267" s="109"/>
      <c r="P267" s="109"/>
      <c r="Q267" s="115" t="s">
        <v>2527</v>
      </c>
      <c r="R267" s="116"/>
      <c r="S267" s="117"/>
      <c r="T267" s="124"/>
      <c r="U267" s="117"/>
      <c r="V267" s="118"/>
      <c r="W267" s="102"/>
      <c r="X267" s="102"/>
      <c r="Y267" s="102"/>
      <c r="Z267" s="102"/>
      <c r="AA267" s="102"/>
      <c r="AB267" s="102"/>
      <c r="AC267" s="113"/>
      <c r="AD267" s="113"/>
      <c r="AE267" s="113"/>
    </row>
    <row r="268">
      <c r="A268" s="114">
        <v>8.003753158587E12</v>
      </c>
      <c r="B268" s="104" t="str">
        <f t="shared" si="1"/>
        <v>Illy_Illy Illy Espresso Forte Capsules 10 pcs 57 C.</v>
      </c>
      <c r="C268" s="105">
        <v>0.09</v>
      </c>
      <c r="D268" s="105">
        <v>0.195</v>
      </c>
      <c r="E268" s="105">
        <v>0.13</v>
      </c>
      <c r="F268" s="106">
        <f>ROUND('Meta data'!$B$1/E268,0)</f>
        <v>2</v>
      </c>
      <c r="G268" s="107"/>
      <c r="H268" s="105" t="s">
        <v>1905</v>
      </c>
      <c r="I268" s="105" t="str">
        <f>IFERROR(__xludf.DUMMYFUNCTION("GOOGLETRANSLATE(H268,""he"",""en"")"),"Illy")</f>
        <v>Illy</v>
      </c>
      <c r="J268" s="105" t="s">
        <v>1907</v>
      </c>
      <c r="K268" s="105" t="str">
        <f>IFERROR(__xludf.DUMMYFUNCTION("GOOGLETRANSLATE(J268,""he"",""en"")"),"Illy Illy Espresso Forte Capsules 10 pcs 57 C.")</f>
        <v>Illy Illy Espresso Forte Capsules 10 pcs 57 C.</v>
      </c>
      <c r="L268" s="104" t="s">
        <v>1911</v>
      </c>
      <c r="M268" s="105" t="s">
        <v>6398</v>
      </c>
      <c r="N268" s="108" t="s">
        <v>6399</v>
      </c>
      <c r="O268" s="109"/>
      <c r="P268" s="109"/>
      <c r="Q268" s="111" t="s">
        <v>1910</v>
      </c>
      <c r="R268" s="111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13"/>
      <c r="AD268" s="113"/>
      <c r="AE268" s="113"/>
    </row>
    <row r="269">
      <c r="A269" s="114">
        <v>8.39762002386E11</v>
      </c>
      <c r="B269" s="104" t="str">
        <f t="shared" si="1"/>
        <v>Island_Island Guava 350 ml</v>
      </c>
      <c r="C269" s="105">
        <v>0.06</v>
      </c>
      <c r="D269" s="105">
        <v>0.195</v>
      </c>
      <c r="E269" s="105">
        <v>0.06</v>
      </c>
      <c r="F269" s="106">
        <f>ROUND('Meta data'!$B$1/E269,0)</f>
        <v>5</v>
      </c>
      <c r="G269" s="107"/>
      <c r="H269" s="105" t="s">
        <v>1913</v>
      </c>
      <c r="I269" s="105" t="str">
        <f>IFERROR(__xludf.DUMMYFUNCTION("GOOGLETRANSLATE(H269,""he"",""en"")"),"Island")</f>
        <v>Island</v>
      </c>
      <c r="J269" s="105" t="s">
        <v>1922</v>
      </c>
      <c r="K269" s="105" t="str">
        <f>IFERROR(__xludf.DUMMYFUNCTION("GOOGLETRANSLATE(J269,""he"",""en"")"),"Island Guava 350 ml")</f>
        <v>Island Guava 350 ml</v>
      </c>
      <c r="L269" s="104" t="s">
        <v>1926</v>
      </c>
      <c r="M269" s="105" t="s">
        <v>6420</v>
      </c>
      <c r="N269" s="108" t="s">
        <v>6421</v>
      </c>
      <c r="O269" s="109"/>
      <c r="P269" s="109"/>
      <c r="Q269" s="115" t="s">
        <v>1925</v>
      </c>
      <c r="R269" s="116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13"/>
      <c r="AD269" s="113"/>
      <c r="AE269" s="113"/>
    </row>
    <row r="270">
      <c r="A270" s="114">
        <v>8.39762002379E11</v>
      </c>
      <c r="B270" s="104" t="str">
        <f t="shared" si="1"/>
        <v>Island_Island Mango 350 ml</v>
      </c>
      <c r="C270" s="105">
        <v>0.06</v>
      </c>
      <c r="D270" s="105">
        <v>0.195</v>
      </c>
      <c r="E270" s="105">
        <v>0.06</v>
      </c>
      <c r="F270" s="106">
        <f>ROUND('Meta data'!$B$1/E270,0)</f>
        <v>5</v>
      </c>
      <c r="G270" s="107"/>
      <c r="H270" s="105" t="s">
        <v>1913</v>
      </c>
      <c r="I270" s="105" t="str">
        <f>IFERROR(__xludf.DUMMYFUNCTION("GOOGLETRANSLATE(H270,""he"",""en"")"),"Island")</f>
        <v>Island</v>
      </c>
      <c r="J270" s="105" t="s">
        <v>1934</v>
      </c>
      <c r="K270" s="105" t="str">
        <f>IFERROR(__xludf.DUMMYFUNCTION("GOOGLETRANSLATE(J270,""he"",""en"")"),"Island Mango 350 ml")</f>
        <v>Island Mango 350 ml</v>
      </c>
      <c r="L270" s="104" t="s">
        <v>1938</v>
      </c>
      <c r="M270" s="105" t="s">
        <v>6420</v>
      </c>
      <c r="N270" s="108" t="s">
        <v>6421</v>
      </c>
      <c r="O270" s="109"/>
      <c r="P270" s="109"/>
      <c r="Q270" s="111" t="s">
        <v>1937</v>
      </c>
      <c r="R270" s="115"/>
      <c r="S270" s="112"/>
      <c r="T270" s="128"/>
      <c r="U270" s="112"/>
      <c r="V270" s="102"/>
      <c r="W270" s="102"/>
      <c r="X270" s="102"/>
      <c r="Y270" s="102"/>
      <c r="Z270" s="102"/>
      <c r="AA270" s="102"/>
      <c r="AB270" s="102"/>
      <c r="AC270" s="113"/>
      <c r="AD270" s="113"/>
      <c r="AE270" s="113"/>
    </row>
    <row r="271">
      <c r="A271" s="114">
        <v>8.39762000658E11</v>
      </c>
      <c r="B271" s="104" t="str">
        <f t="shared" si="1"/>
        <v>Island_Guava Island of the coast of the Sinai drink 1 liter</v>
      </c>
      <c r="C271" s="105">
        <v>0.08</v>
      </c>
      <c r="D271" s="105">
        <v>0.26</v>
      </c>
      <c r="E271" s="105">
        <v>0.08</v>
      </c>
      <c r="F271" s="106">
        <f>ROUND('Meta data'!$B$1/E271,0)</f>
        <v>4</v>
      </c>
      <c r="G271" s="107"/>
      <c r="H271" s="105" t="s">
        <v>1913</v>
      </c>
      <c r="I271" s="105" t="str">
        <f>IFERROR(__xludf.DUMMYFUNCTION("GOOGLETRANSLATE(H271,""he"",""en"")"),"Island")</f>
        <v>Island</v>
      </c>
      <c r="J271" s="105" t="s">
        <v>1915</v>
      </c>
      <c r="K271" s="105" t="str">
        <f>IFERROR(__xludf.DUMMYFUNCTION("GOOGLETRANSLATE(J271,""he"",""en"")"),"Guava Island of the coast of the Sinai drink 1 liter")</f>
        <v>Guava Island of the coast of the Sinai drink 1 liter</v>
      </c>
      <c r="L271" s="104" t="s">
        <v>1920</v>
      </c>
      <c r="M271" s="105" t="s">
        <v>6420</v>
      </c>
      <c r="N271" s="108" t="s">
        <v>6433</v>
      </c>
      <c r="O271" s="109"/>
      <c r="P271" s="109"/>
      <c r="Q271" s="115" t="s">
        <v>1919</v>
      </c>
      <c r="R271" s="116"/>
      <c r="S271" s="117"/>
      <c r="T271" s="117"/>
      <c r="U271" s="102"/>
      <c r="V271" s="102"/>
      <c r="W271" s="102"/>
      <c r="X271" s="102"/>
      <c r="Y271" s="102"/>
      <c r="Z271" s="102"/>
      <c r="AA271" s="102"/>
      <c r="AB271" s="102"/>
      <c r="AC271" s="113"/>
      <c r="AD271" s="113"/>
      <c r="AE271" s="113"/>
    </row>
    <row r="272">
      <c r="A272" s="114">
        <v>8.39762000641E11</v>
      </c>
      <c r="B272" s="104" t="str">
        <f t="shared" si="1"/>
        <v>Island_Island Mango 1L</v>
      </c>
      <c r="C272" s="105">
        <v>0.08</v>
      </c>
      <c r="D272" s="105">
        <v>0.26</v>
      </c>
      <c r="E272" s="105">
        <v>0.08</v>
      </c>
      <c r="F272" s="106">
        <f>ROUND('Meta data'!$B$1/E272,0)</f>
        <v>4</v>
      </c>
      <c r="G272" s="107"/>
      <c r="H272" s="105" t="s">
        <v>1913</v>
      </c>
      <c r="I272" s="105" t="str">
        <f>IFERROR(__xludf.DUMMYFUNCTION("GOOGLETRANSLATE(H272,""he"",""en"")"),"Island")</f>
        <v>Island</v>
      </c>
      <c r="J272" s="105" t="s">
        <v>1928</v>
      </c>
      <c r="K272" s="105" t="str">
        <f>IFERROR(__xludf.DUMMYFUNCTION("GOOGLETRANSLATE(J272,""he"",""en"")"),"Island Mango 1L")</f>
        <v>Island Mango 1L</v>
      </c>
      <c r="L272" s="104" t="s">
        <v>1932</v>
      </c>
      <c r="M272" s="105" t="s">
        <v>6420</v>
      </c>
      <c r="N272" s="108" t="s">
        <v>6433</v>
      </c>
      <c r="O272" s="109"/>
      <c r="P272" s="109"/>
      <c r="Q272" s="115" t="s">
        <v>1931</v>
      </c>
      <c r="R272" s="116"/>
      <c r="S272" s="117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13"/>
      <c r="AD272" s="113"/>
      <c r="AE272" s="113"/>
    </row>
    <row r="273">
      <c r="A273" s="114">
        <v>7.290008464963E12</v>
      </c>
      <c r="B273" s="104" t="str">
        <f t="shared" si="1"/>
        <v>Jump_Jump grapes, 330 ml</v>
      </c>
      <c r="C273" s="105">
        <v>0.06</v>
      </c>
      <c r="D273" s="105">
        <v>0.193</v>
      </c>
      <c r="E273" s="105">
        <v>0.06</v>
      </c>
      <c r="F273" s="106">
        <f>ROUND('Meta data'!$B$1/E273,0)</f>
        <v>5</v>
      </c>
      <c r="G273" s="107"/>
      <c r="H273" s="105" t="s">
        <v>2008</v>
      </c>
      <c r="I273" s="119" t="s">
        <v>2009</v>
      </c>
      <c r="J273" s="105" t="s">
        <v>2010</v>
      </c>
      <c r="K273" s="119" t="s">
        <v>6453</v>
      </c>
      <c r="L273" s="104" t="s">
        <v>2014</v>
      </c>
      <c r="M273" s="105" t="s">
        <v>6420</v>
      </c>
      <c r="N273" s="108" t="s">
        <v>6421</v>
      </c>
      <c r="O273" s="109"/>
      <c r="P273" s="109"/>
      <c r="Q273" s="115" t="s">
        <v>2013</v>
      </c>
      <c r="R273" s="116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13"/>
      <c r="AD273" s="113"/>
      <c r="AE273" s="113"/>
    </row>
    <row r="274">
      <c r="A274" s="114">
        <v>7.290008464895E12</v>
      </c>
      <c r="B274" s="104" t="str">
        <f t="shared" si="1"/>
        <v>Jump_Jump orange, 330 ml</v>
      </c>
      <c r="C274" s="105">
        <v>0.06</v>
      </c>
      <c r="D274" s="105">
        <v>0.193</v>
      </c>
      <c r="E274" s="105">
        <v>0.06</v>
      </c>
      <c r="F274" s="106">
        <f>ROUND('Meta data'!$B$1/E274,0)</f>
        <v>5</v>
      </c>
      <c r="G274" s="107"/>
      <c r="H274" s="105" t="s">
        <v>2008</v>
      </c>
      <c r="I274" s="119" t="s">
        <v>2009</v>
      </c>
      <c r="J274" s="105" t="s">
        <v>2016</v>
      </c>
      <c r="K274" s="119" t="s">
        <v>6454</v>
      </c>
      <c r="L274" s="104" t="s">
        <v>2020</v>
      </c>
      <c r="M274" s="105" t="s">
        <v>6420</v>
      </c>
      <c r="N274" s="108" t="s">
        <v>6421</v>
      </c>
      <c r="O274" s="109"/>
      <c r="P274" s="109"/>
      <c r="Q274" s="115" t="s">
        <v>2019</v>
      </c>
      <c r="R274" s="116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13"/>
      <c r="AD274" s="113"/>
      <c r="AE274" s="113"/>
    </row>
    <row r="275">
      <c r="A275" s="114">
        <v>7.29000017147E12</v>
      </c>
      <c r="B275" s="104" t="str">
        <f t="shared" si="1"/>
        <v>Kif-kef_Kif kef spoon 45 grams</v>
      </c>
      <c r="C275" s="105">
        <v>0.11</v>
      </c>
      <c r="D275" s="105">
        <v>0.065</v>
      </c>
      <c r="E275" s="105">
        <v>0.02</v>
      </c>
      <c r="F275" s="106">
        <f>ROUND('Meta data'!$B$1/E275,0)</f>
        <v>15</v>
      </c>
      <c r="G275" s="107"/>
      <c r="H275" s="105" t="s">
        <v>2061</v>
      </c>
      <c r="I275" s="119" t="s">
        <v>6455</v>
      </c>
      <c r="J275" s="105" t="s">
        <v>2079</v>
      </c>
      <c r="K275" s="119" t="s">
        <v>6456</v>
      </c>
      <c r="L275" s="104" t="s">
        <v>2083</v>
      </c>
      <c r="M275" s="105" t="s">
        <v>6302</v>
      </c>
      <c r="N275" s="108" t="s">
        <v>6303</v>
      </c>
      <c r="O275" s="109"/>
      <c r="P275" s="109"/>
      <c r="Q275" s="111" t="s">
        <v>2082</v>
      </c>
      <c r="R275" s="115"/>
      <c r="S275" s="11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13"/>
      <c r="AD275" s="113"/>
      <c r="AE275" s="113"/>
    </row>
    <row r="276">
      <c r="A276" s="114">
        <v>7.290105361707E12</v>
      </c>
      <c r="B276" s="104" t="str">
        <f t="shared" si="1"/>
        <v>Kif-kef_Kif kef tablespoon white 45 g</v>
      </c>
      <c r="C276" s="105">
        <v>0.11</v>
      </c>
      <c r="D276" s="105">
        <v>0.065</v>
      </c>
      <c r="E276" s="105">
        <v>0.02</v>
      </c>
      <c r="F276" s="106">
        <f>ROUND('Meta data'!$B$1/E276,0)</f>
        <v>15</v>
      </c>
      <c r="G276" s="107"/>
      <c r="H276" s="105" t="s">
        <v>2061</v>
      </c>
      <c r="I276" s="119" t="s">
        <v>6455</v>
      </c>
      <c r="J276" s="105" t="s">
        <v>2093</v>
      </c>
      <c r="K276" s="119" t="s">
        <v>6457</v>
      </c>
      <c r="L276" s="104" t="s">
        <v>2097</v>
      </c>
      <c r="M276" s="105" t="s">
        <v>6302</v>
      </c>
      <c r="N276" s="108" t="s">
        <v>6303</v>
      </c>
      <c r="O276" s="109"/>
      <c r="P276" s="109"/>
      <c r="Q276" s="111" t="s">
        <v>2096</v>
      </c>
      <c r="R276" s="111"/>
      <c r="S276" s="11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13"/>
      <c r="AD276" s="113"/>
      <c r="AE276" s="113"/>
    </row>
    <row r="277">
      <c r="A277" s="114">
        <v>7.290105364302E12</v>
      </c>
      <c r="B277" s="104" t="str">
        <f t="shared" si="1"/>
        <v>Kif-kef_Kif kef palm nut sticks</v>
      </c>
      <c r="C277" s="105">
        <v>0.08</v>
      </c>
      <c r="D277" s="105">
        <v>0.142</v>
      </c>
      <c r="E277" s="105">
        <v>0.037</v>
      </c>
      <c r="F277" s="106">
        <f>ROUND('Meta data'!$B$1/E277,0)</f>
        <v>8</v>
      </c>
      <c r="G277" s="107"/>
      <c r="H277" s="105" t="s">
        <v>2061</v>
      </c>
      <c r="I277" s="119" t="s">
        <v>6455</v>
      </c>
      <c r="J277" s="105" t="s">
        <v>2063</v>
      </c>
      <c r="K277" s="119" t="s">
        <v>6458</v>
      </c>
      <c r="L277" s="104" t="s">
        <v>2067</v>
      </c>
      <c r="M277" s="105" t="s">
        <v>6302</v>
      </c>
      <c r="N277" s="108" t="s">
        <v>6355</v>
      </c>
      <c r="O277" s="109"/>
      <c r="P277" s="109"/>
      <c r="Q277" s="115" t="s">
        <v>2066</v>
      </c>
      <c r="R277" s="116"/>
      <c r="S277" s="118"/>
      <c r="T277" s="117"/>
      <c r="U277" s="102"/>
      <c r="V277" s="102"/>
      <c r="W277" s="102"/>
      <c r="X277" s="102"/>
      <c r="Y277" s="102"/>
      <c r="Z277" s="102"/>
      <c r="AA277" s="102"/>
      <c r="AB277" s="102"/>
      <c r="AC277" s="113"/>
      <c r="AD277" s="113"/>
      <c r="AE277" s="113"/>
    </row>
    <row r="278">
      <c r="A278" s="114">
        <v>7.290112347626E12</v>
      </c>
      <c r="B278" s="104" t="str">
        <f t="shared" si="1"/>
        <v>Kif-kef_Kif kef snacks spoon 55 grams</v>
      </c>
      <c r="C278" s="105">
        <v>0.07</v>
      </c>
      <c r="D278" s="105">
        <v>0.105</v>
      </c>
      <c r="E278" s="105">
        <v>0.05</v>
      </c>
      <c r="F278" s="106">
        <f>ROUND('Meta data'!$B$1/E278,0)</f>
        <v>6</v>
      </c>
      <c r="G278" s="107"/>
      <c r="H278" s="105" t="s">
        <v>2061</v>
      </c>
      <c r="I278" s="119" t="s">
        <v>6455</v>
      </c>
      <c r="J278" s="105" t="s">
        <v>2072</v>
      </c>
      <c r="K278" s="119" t="s">
        <v>6459</v>
      </c>
      <c r="L278" s="104" t="s">
        <v>2076</v>
      </c>
      <c r="M278" s="105" t="s">
        <v>6302</v>
      </c>
      <c r="N278" s="108" t="s">
        <v>6355</v>
      </c>
      <c r="O278" s="109"/>
      <c r="P278" s="109"/>
      <c r="Q278" s="115" t="s">
        <v>2075</v>
      </c>
      <c r="R278" s="116"/>
      <c r="S278" s="118"/>
      <c r="T278" s="117"/>
      <c r="U278" s="102"/>
      <c r="V278" s="102"/>
      <c r="W278" s="102"/>
      <c r="X278" s="102"/>
      <c r="Y278" s="102"/>
      <c r="Z278" s="102"/>
      <c r="AA278" s="102"/>
      <c r="AB278" s="102"/>
      <c r="AC278" s="113"/>
      <c r="AD278" s="113"/>
      <c r="AE278" s="113"/>
    </row>
    <row r="279">
      <c r="A279" s="114">
        <v>7.290107931397E12</v>
      </c>
      <c r="B279" s="104" t="str">
        <f t="shared" si="1"/>
        <v>Kif-kef_Kif kef tablespoon of bubble wrap</v>
      </c>
      <c r="C279" s="105">
        <v>0.08</v>
      </c>
      <c r="D279" s="105">
        <v>0.142</v>
      </c>
      <c r="E279" s="105">
        <v>0.037</v>
      </c>
      <c r="F279" s="106">
        <f>ROUND('Meta data'!$B$1/E279,0)</f>
        <v>8</v>
      </c>
      <c r="G279" s="107"/>
      <c r="H279" s="105" t="s">
        <v>2061</v>
      </c>
      <c r="I279" s="119" t="s">
        <v>6455</v>
      </c>
      <c r="J279" s="105" t="s">
        <v>2086</v>
      </c>
      <c r="K279" s="119" t="s">
        <v>6460</v>
      </c>
      <c r="L279" s="104" t="s">
        <v>2090</v>
      </c>
      <c r="M279" s="105" t="s">
        <v>6302</v>
      </c>
      <c r="N279" s="108" t="s">
        <v>6355</v>
      </c>
      <c r="O279" s="109"/>
      <c r="P279" s="109"/>
      <c r="Q279" s="115" t="s">
        <v>2089</v>
      </c>
      <c r="R279" s="115"/>
      <c r="S279" s="117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13"/>
      <c r="AD279" s="113"/>
      <c r="AE279" s="113"/>
    </row>
    <row r="280">
      <c r="A280" s="114">
        <v>7.290003009312E12</v>
      </c>
      <c r="B280" s="104" t="str">
        <f t="shared" si="1"/>
        <v>Kileat-Gat_Roasted Peanut 200 g</v>
      </c>
      <c r="C280" s="105">
        <v>0.11</v>
      </c>
      <c r="D280" s="105">
        <v>0.19</v>
      </c>
      <c r="E280" s="105">
        <v>0.02</v>
      </c>
      <c r="F280" s="106">
        <f>ROUND('Meta data'!$B$1/E280,0)</f>
        <v>15</v>
      </c>
      <c r="G280" s="107"/>
      <c r="H280" s="105" t="s">
        <v>2197</v>
      </c>
      <c r="I280" s="119" t="s">
        <v>6461</v>
      </c>
      <c r="J280" s="105" t="s">
        <v>2271</v>
      </c>
      <c r="K280" s="105" t="str">
        <f>IFERROR(__xludf.DUMMYFUNCTION("GOOGLETRANSLATE(J280,""he"",""en"")"),"Roasted Peanut 200 g")</f>
        <v>Roasted Peanut 200 g</v>
      </c>
      <c r="L280" s="104" t="s">
        <v>2275</v>
      </c>
      <c r="M280" s="105" t="s">
        <v>6365</v>
      </c>
      <c r="N280" s="108" t="s">
        <v>1810</v>
      </c>
      <c r="O280" s="109"/>
      <c r="P280" s="109"/>
      <c r="Q280" s="115" t="s">
        <v>2274</v>
      </c>
      <c r="R280" s="115"/>
      <c r="S280" s="117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13"/>
      <c r="AD280" s="113"/>
      <c r="AE280" s="113"/>
    </row>
    <row r="281">
      <c r="A281" s="114">
        <v>7.290000377209E12</v>
      </c>
      <c r="B281" s="104" t="str">
        <f t="shared" si="1"/>
        <v>Kileat-Gat_Kileat Gatl fried peanuts 200g</v>
      </c>
      <c r="C281" s="105">
        <v>0.125</v>
      </c>
      <c r="D281" s="105">
        <v>0.18</v>
      </c>
      <c r="E281" s="105">
        <v>0.02</v>
      </c>
      <c r="F281" s="106">
        <f>ROUND('Meta data'!$B$1/E281,0)</f>
        <v>15</v>
      </c>
      <c r="G281" s="107"/>
      <c r="H281" s="105" t="s">
        <v>2197</v>
      </c>
      <c r="I281" s="119" t="s">
        <v>6461</v>
      </c>
      <c r="J281" s="105" t="s">
        <v>2238</v>
      </c>
      <c r="K281" s="119" t="s">
        <v>6462</v>
      </c>
      <c r="L281" s="104" t="s">
        <v>2240</v>
      </c>
      <c r="M281" s="105" t="s">
        <v>6365</v>
      </c>
      <c r="N281" s="108" t="s">
        <v>1810</v>
      </c>
      <c r="O281" s="109"/>
      <c r="P281" s="109"/>
      <c r="Q281" s="115" t="s">
        <v>2241</v>
      </c>
      <c r="R281" s="116"/>
      <c r="S281" s="118"/>
      <c r="T281" s="117"/>
      <c r="U281" s="102"/>
      <c r="V281" s="102"/>
      <c r="W281" s="102"/>
      <c r="X281" s="102"/>
      <c r="Y281" s="102"/>
      <c r="Z281" s="102"/>
      <c r="AA281" s="102"/>
      <c r="AB281" s="102"/>
      <c r="AC281" s="113"/>
      <c r="AD281" s="113"/>
      <c r="AE281" s="113"/>
    </row>
    <row r="282">
      <c r="A282" s="114">
        <v>7.290003145768E12</v>
      </c>
      <c r="B282" s="104" t="str">
        <f t="shared" si="1"/>
        <v>Kileat-Gat_The American Peanut, 50 g</v>
      </c>
      <c r="C282" s="105">
        <v>0.06</v>
      </c>
      <c r="D282" s="105">
        <v>0.075</v>
      </c>
      <c r="E282" s="105">
        <v>0.24</v>
      </c>
      <c r="F282" s="106">
        <f>ROUND('Meta data'!$B$1/E282,0)</f>
        <v>1</v>
      </c>
      <c r="G282" s="107"/>
      <c r="H282" s="105" t="s">
        <v>2197</v>
      </c>
      <c r="I282" s="119" t="s">
        <v>6461</v>
      </c>
      <c r="J282" s="105" t="s">
        <v>2289</v>
      </c>
      <c r="K282" s="105" t="str">
        <f>IFERROR(__xludf.DUMMYFUNCTION("GOOGLETRANSLATE(J282,""he"",""en"")"),"The American Peanut, 50 g")</f>
        <v>The American Peanut, 50 g</v>
      </c>
      <c r="L282" s="104" t="s">
        <v>2293</v>
      </c>
      <c r="M282" s="105" t="s">
        <v>6365</v>
      </c>
      <c r="N282" s="108" t="s">
        <v>6366</v>
      </c>
      <c r="O282" s="109"/>
      <c r="P282" s="109"/>
      <c r="Q282" s="111" t="s">
        <v>2292</v>
      </c>
      <c r="R282" s="111"/>
      <c r="S282" s="118"/>
      <c r="T282" s="112"/>
      <c r="U282" s="102"/>
      <c r="V282" s="102"/>
      <c r="W282" s="102"/>
      <c r="X282" s="102"/>
      <c r="Y282" s="102"/>
      <c r="Z282" s="102"/>
      <c r="AA282" s="102"/>
      <c r="AB282" s="102"/>
      <c r="AC282" s="113"/>
      <c r="AD282" s="113"/>
      <c r="AE282" s="113"/>
    </row>
    <row r="283">
      <c r="A283" s="114">
        <v>7.290003009329E12</v>
      </c>
      <c r="B283" s="104" t="str">
        <f t="shared" si="1"/>
        <v>Kileat-Gat_American peanut roasting Gat 200g</v>
      </c>
      <c r="C283" s="105">
        <v>0.12</v>
      </c>
      <c r="D283" s="105">
        <v>0.19</v>
      </c>
      <c r="E283" s="105">
        <v>0.02</v>
      </c>
      <c r="F283" s="106">
        <f>ROUND('Meta data'!$B$1/E283,0)</f>
        <v>15</v>
      </c>
      <c r="G283" s="107"/>
      <c r="H283" s="105" t="s">
        <v>2197</v>
      </c>
      <c r="I283" s="119" t="s">
        <v>6461</v>
      </c>
      <c r="J283" s="105" t="s">
        <v>2219</v>
      </c>
      <c r="K283" s="105" t="str">
        <f>IFERROR(__xludf.DUMMYFUNCTION("GOOGLETRANSLATE(J283,""he"",""en"")"),"American peanut roasting Gat 200g")</f>
        <v>American peanut roasting Gat 200g</v>
      </c>
      <c r="L283" s="104" t="s">
        <v>2223</v>
      </c>
      <c r="M283" s="105" t="s">
        <v>6365</v>
      </c>
      <c r="N283" s="108" t="s">
        <v>6366</v>
      </c>
      <c r="O283" s="109"/>
      <c r="P283" s="109"/>
      <c r="Q283" s="115" t="s">
        <v>2222</v>
      </c>
      <c r="R283" s="116"/>
      <c r="S283" s="121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13"/>
      <c r="AD283" s="113"/>
      <c r="AE283" s="113"/>
    </row>
    <row r="284">
      <c r="A284" s="114">
        <v>7.290000377452E12</v>
      </c>
      <c r="B284" s="104" t="str">
        <f t="shared" si="1"/>
        <v>Kileat-Gat_Watermelon seeds, 200 g</v>
      </c>
      <c r="C284" s="105">
        <v>0.11</v>
      </c>
      <c r="D284" s="105">
        <v>0.19</v>
      </c>
      <c r="E284" s="105">
        <v>0.02</v>
      </c>
      <c r="F284" s="106">
        <f>ROUND('Meta data'!$B$1/E284,0)</f>
        <v>15</v>
      </c>
      <c r="G284" s="107"/>
      <c r="H284" s="105" t="s">
        <v>2197</v>
      </c>
      <c r="I284" s="119" t="s">
        <v>6461</v>
      </c>
      <c r="J284" s="105" t="s">
        <v>2301</v>
      </c>
      <c r="K284" s="105" t="str">
        <f>IFERROR(__xludf.DUMMYFUNCTION("GOOGLETRANSLATE(J284,""he"",""en"")"),"Watermelon seeds, 200 g")</f>
        <v>Watermelon seeds, 200 g</v>
      </c>
      <c r="L284" s="104" t="s">
        <v>2304</v>
      </c>
      <c r="M284" s="105" t="s">
        <v>6365</v>
      </c>
      <c r="N284" s="108" t="s">
        <v>1861</v>
      </c>
      <c r="O284" s="109"/>
      <c r="P284" s="109"/>
      <c r="Q284" s="115" t="s">
        <v>2303</v>
      </c>
      <c r="R284" s="116"/>
      <c r="S284" s="118"/>
      <c r="T284" s="117"/>
      <c r="U284" s="102"/>
      <c r="V284" s="102"/>
      <c r="W284" s="102"/>
      <c r="X284" s="102"/>
      <c r="Y284" s="102"/>
      <c r="Z284" s="102"/>
      <c r="AA284" s="102"/>
      <c r="AB284" s="102"/>
      <c r="AC284" s="113"/>
      <c r="AD284" s="113"/>
      <c r="AE284" s="113"/>
    </row>
    <row r="285">
      <c r="A285" s="114">
        <v>7.290000148489E12</v>
      </c>
      <c r="B285" s="104" t="str">
        <f t="shared" si="1"/>
        <v>Kileat-Gat_200 grams of pumpkin seeds</v>
      </c>
      <c r="C285" s="105">
        <v>0.145</v>
      </c>
      <c r="D285" s="105">
        <v>0.19</v>
      </c>
      <c r="E285" s="105">
        <v>0.02</v>
      </c>
      <c r="F285" s="106">
        <f>ROUND('Meta data'!$B$1/E285,0)</f>
        <v>15</v>
      </c>
      <c r="G285" s="107"/>
      <c r="H285" s="105" t="s">
        <v>2197</v>
      </c>
      <c r="I285" s="119" t="s">
        <v>6461</v>
      </c>
      <c r="J285" s="105" t="s">
        <v>2199</v>
      </c>
      <c r="K285" s="105" t="str">
        <f>IFERROR(__xludf.DUMMYFUNCTION("GOOGLETRANSLATE(J285,""he"",""en"")"),"200 grams of pumpkin seeds")</f>
        <v>200 grams of pumpkin seeds</v>
      </c>
      <c r="L285" s="104" t="s">
        <v>2204</v>
      </c>
      <c r="M285" s="105" t="s">
        <v>6365</v>
      </c>
      <c r="N285" s="108" t="s">
        <v>2202</v>
      </c>
      <c r="O285" s="109"/>
      <c r="P285" s="109"/>
      <c r="Q285" s="115" t="s">
        <v>2203</v>
      </c>
      <c r="R285" s="116"/>
      <c r="S285" s="118"/>
      <c r="T285" s="117"/>
      <c r="U285" s="102"/>
      <c r="V285" s="102"/>
      <c r="W285" s="102"/>
      <c r="X285" s="102"/>
      <c r="Y285" s="102"/>
      <c r="Z285" s="102"/>
      <c r="AA285" s="102"/>
      <c r="AB285" s="102"/>
      <c r="AC285" s="113"/>
      <c r="AD285" s="113"/>
      <c r="AE285" s="113"/>
    </row>
    <row r="286">
      <c r="A286" s="114">
        <v>7.290000148748E12</v>
      </c>
      <c r="B286" s="104" t="str">
        <f t="shared" si="1"/>
        <v>Kileat-Gat_Sunflower seeds, 200 g</v>
      </c>
      <c r="C286" s="105">
        <v>0.11</v>
      </c>
      <c r="D286" s="105">
        <v>0.19</v>
      </c>
      <c r="E286" s="105">
        <v>0.02</v>
      </c>
      <c r="F286" s="106">
        <f>ROUND('Meta data'!$B$1/E286,0)</f>
        <v>15</v>
      </c>
      <c r="G286" s="107"/>
      <c r="H286" s="105" t="s">
        <v>2197</v>
      </c>
      <c r="I286" s="119" t="s">
        <v>6461</v>
      </c>
      <c r="J286" s="105" t="s">
        <v>2283</v>
      </c>
      <c r="K286" s="105" t="str">
        <f>IFERROR(__xludf.DUMMYFUNCTION("GOOGLETRANSLATE(J286,""he"",""en"")"),"Sunflower seeds, 200 g")</f>
        <v>Sunflower seeds, 200 g</v>
      </c>
      <c r="L286" s="104" t="s">
        <v>2287</v>
      </c>
      <c r="M286" s="105" t="s">
        <v>6365</v>
      </c>
      <c r="N286" s="108" t="s">
        <v>1803</v>
      </c>
      <c r="O286" s="109"/>
      <c r="P286" s="109"/>
      <c r="Q286" s="111" t="s">
        <v>2286</v>
      </c>
      <c r="R286" s="116"/>
      <c r="S286" s="117"/>
      <c r="T286" s="117"/>
      <c r="U286" s="117"/>
      <c r="V286" s="117"/>
      <c r="W286" s="102"/>
      <c r="X286" s="102"/>
      <c r="Y286" s="102"/>
      <c r="Z286" s="102"/>
      <c r="AA286" s="102"/>
      <c r="AB286" s="102"/>
      <c r="AC286" s="113"/>
      <c r="AD286" s="113"/>
      <c r="AE286" s="113"/>
    </row>
    <row r="287">
      <c r="A287" s="114">
        <v>7.290003145584E12</v>
      </c>
      <c r="B287" s="104" t="str">
        <f t="shared" si="1"/>
        <v>Kileat-Gat_Pistachio roasted, 100 g</v>
      </c>
      <c r="C287" s="105">
        <v>0.08</v>
      </c>
      <c r="D287" s="105">
        <v>0.19</v>
      </c>
      <c r="E287" s="105">
        <v>0.02</v>
      </c>
      <c r="F287" s="106">
        <f>ROUND('Meta data'!$B$1/E287,0)</f>
        <v>15</v>
      </c>
      <c r="G287" s="107"/>
      <c r="H287" s="105" t="s">
        <v>2197</v>
      </c>
      <c r="I287" s="119" t="s">
        <v>6461</v>
      </c>
      <c r="J287" s="105" t="s">
        <v>2259</v>
      </c>
      <c r="K287" s="105" t="str">
        <f>IFERROR(__xludf.DUMMYFUNCTION("GOOGLETRANSLATE(J287,""he"",""en"")"),"Pistachio roasted, 100 g")</f>
        <v>Pistachio roasted, 100 g</v>
      </c>
      <c r="L287" s="104" t="s">
        <v>2263</v>
      </c>
      <c r="M287" s="105" t="s">
        <v>6365</v>
      </c>
      <c r="N287" s="108" t="s">
        <v>1828</v>
      </c>
      <c r="O287" s="109"/>
      <c r="P287" s="109"/>
      <c r="Q287" s="111" t="s">
        <v>2262</v>
      </c>
      <c r="R287" s="111"/>
      <c r="S287" s="118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13"/>
      <c r="AD287" s="113"/>
      <c r="AE287" s="113"/>
    </row>
    <row r="288">
      <c r="A288" s="114">
        <v>7.290003009336E12</v>
      </c>
      <c r="B288" s="104" t="str">
        <f t="shared" si="1"/>
        <v>Kileat-Gat_Bottles, 200 grams</v>
      </c>
      <c r="C288" s="105">
        <v>0.12</v>
      </c>
      <c r="D288" s="105">
        <v>0.19</v>
      </c>
      <c r="E288" s="105">
        <v>0.02</v>
      </c>
      <c r="F288" s="106">
        <f>ROUND('Meta data'!$B$1/E288,0)</f>
        <v>15</v>
      </c>
      <c r="G288" s="107"/>
      <c r="H288" s="105" t="s">
        <v>2197</v>
      </c>
      <c r="I288" s="119" t="s">
        <v>6461</v>
      </c>
      <c r="J288" s="105" t="s">
        <v>2225</v>
      </c>
      <c r="K288" s="105" t="str">
        <f>IFERROR(__xludf.DUMMYFUNCTION("GOOGLETRANSLATE(J288,""he"",""en"")"),"Bottles, 200 grams")</f>
        <v>Bottles, 200 grams</v>
      </c>
      <c r="L288" s="104" t="s">
        <v>2230</v>
      </c>
      <c r="M288" s="105" t="s">
        <v>6365</v>
      </c>
      <c r="N288" s="108" t="s">
        <v>2228</v>
      </c>
      <c r="O288" s="109"/>
      <c r="P288" s="109"/>
      <c r="Q288" s="115" t="s">
        <v>2229</v>
      </c>
      <c r="R288" s="116"/>
      <c r="S288" s="117"/>
      <c r="T288" s="117"/>
      <c r="U288" s="118"/>
      <c r="V288" s="117"/>
      <c r="W288" s="102"/>
      <c r="X288" s="102"/>
      <c r="Y288" s="102"/>
      <c r="Z288" s="102"/>
      <c r="AA288" s="102"/>
      <c r="AB288" s="102"/>
      <c r="AC288" s="113"/>
      <c r="AD288" s="113"/>
      <c r="AE288" s="113"/>
    </row>
    <row r="289">
      <c r="A289" s="114">
        <v>7.290000148618E12</v>
      </c>
      <c r="B289" s="104" t="str">
        <f t="shared" si="1"/>
        <v>Kileat-Gat_Fried cashew, 200g</v>
      </c>
      <c r="C289" s="105">
        <v>0.135</v>
      </c>
      <c r="D289" s="105">
        <v>0.19</v>
      </c>
      <c r="E289" s="105">
        <v>0.02</v>
      </c>
      <c r="F289" s="106">
        <f>ROUND('Meta data'!$B$1/E289,0)</f>
        <v>15</v>
      </c>
      <c r="G289" s="107"/>
      <c r="H289" s="105" t="s">
        <v>2197</v>
      </c>
      <c r="I289" s="119" t="s">
        <v>6461</v>
      </c>
      <c r="J289" s="105" t="s">
        <v>2232</v>
      </c>
      <c r="K289" s="105" t="str">
        <f>IFERROR(__xludf.DUMMYFUNCTION("GOOGLETRANSLATE(J289,""he"",""en"")"),"Fried cashew, 200g")</f>
        <v>Fried cashew, 200g</v>
      </c>
      <c r="L289" s="104" t="s">
        <v>2236</v>
      </c>
      <c r="M289" s="105" t="s">
        <v>6365</v>
      </c>
      <c r="N289" s="108" t="s">
        <v>1841</v>
      </c>
      <c r="O289" s="109"/>
      <c r="P289" s="109"/>
      <c r="Q289" s="111" t="s">
        <v>2235</v>
      </c>
      <c r="R289" s="111"/>
      <c r="S289" s="112"/>
      <c r="T289" s="112"/>
      <c r="U289" s="102"/>
      <c r="V289" s="102"/>
      <c r="W289" s="102"/>
      <c r="X289" s="102"/>
      <c r="Y289" s="102"/>
      <c r="Z289" s="102"/>
      <c r="AA289" s="102"/>
      <c r="AB289" s="102"/>
      <c r="AC289" s="113"/>
      <c r="AD289" s="113"/>
      <c r="AE289" s="113"/>
    </row>
    <row r="290">
      <c r="A290" s="114">
        <v>7.290003145577E12</v>
      </c>
      <c r="B290" s="104" t="str">
        <f t="shared" si="1"/>
        <v>Kileat-Gat_Roasted cashew C., 100 g</v>
      </c>
      <c r="C290" s="105">
        <v>0.08</v>
      </c>
      <c r="D290" s="105">
        <v>0.19</v>
      </c>
      <c r="E290" s="105">
        <v>0.02</v>
      </c>
      <c r="F290" s="106">
        <f>ROUND('Meta data'!$B$1/E290,0)</f>
        <v>15</v>
      </c>
      <c r="G290" s="107"/>
      <c r="H290" s="105" t="s">
        <v>2197</v>
      </c>
      <c r="I290" s="119" t="s">
        <v>6461</v>
      </c>
      <c r="J290" s="105" t="s">
        <v>2265</v>
      </c>
      <c r="K290" s="105" t="str">
        <f>IFERROR(__xludf.DUMMYFUNCTION("GOOGLETRANSLATE(J290,""he"",""en"")"),"Roasted cashew C., 100 g")</f>
        <v>Roasted cashew C., 100 g</v>
      </c>
      <c r="L290" s="104" t="s">
        <v>2269</v>
      </c>
      <c r="M290" s="105" t="s">
        <v>6365</v>
      </c>
      <c r="N290" s="108" t="s">
        <v>1841</v>
      </c>
      <c r="O290" s="109"/>
      <c r="P290" s="109"/>
      <c r="Q290" s="115" t="s">
        <v>2268</v>
      </c>
      <c r="R290" s="116"/>
      <c r="S290" s="117"/>
      <c r="T290" s="117"/>
      <c r="U290" s="117"/>
      <c r="V290" s="102"/>
      <c r="W290" s="102"/>
      <c r="X290" s="102"/>
      <c r="Y290" s="102"/>
      <c r="Z290" s="102"/>
      <c r="AA290" s="102"/>
      <c r="AB290" s="102"/>
      <c r="AC290" s="113"/>
      <c r="AD290" s="113"/>
      <c r="AE290" s="113"/>
    </row>
    <row r="291">
      <c r="A291" s="114">
        <v>7.29000314556E12</v>
      </c>
      <c r="B291" s="104" t="str">
        <f t="shared" si="1"/>
        <v>Kileat-Gat_Toasted Almond, 100 g</v>
      </c>
      <c r="C291" s="105">
        <v>0.08</v>
      </c>
      <c r="D291" s="105">
        <v>0.19</v>
      </c>
      <c r="E291" s="105">
        <v>0.02</v>
      </c>
      <c r="F291" s="106">
        <f>ROUND('Meta data'!$B$1/E291,0)</f>
        <v>15</v>
      </c>
      <c r="G291" s="107"/>
      <c r="H291" s="105" t="s">
        <v>2197</v>
      </c>
      <c r="I291" s="119" t="s">
        <v>6461</v>
      </c>
      <c r="J291" s="105" t="s">
        <v>2295</v>
      </c>
      <c r="K291" s="105" t="str">
        <f>IFERROR(__xludf.DUMMYFUNCTION("GOOGLETRANSLATE(J291,""he"",""en"")"),"Toasted Almond, 100 g")</f>
        <v>Toasted Almond, 100 g</v>
      </c>
      <c r="L291" s="104" t="s">
        <v>2299</v>
      </c>
      <c r="M291" s="105" t="s">
        <v>6365</v>
      </c>
      <c r="N291" s="108" t="s">
        <v>2215</v>
      </c>
      <c r="O291" s="109"/>
      <c r="P291" s="109"/>
      <c r="Q291" s="115" t="s">
        <v>2298</v>
      </c>
      <c r="R291" s="116"/>
      <c r="S291" s="118"/>
      <c r="T291" s="117"/>
      <c r="U291" s="102"/>
      <c r="V291" s="102"/>
      <c r="W291" s="102"/>
      <c r="X291" s="102"/>
      <c r="Y291" s="102"/>
      <c r="Z291" s="102"/>
      <c r="AA291" s="102"/>
      <c r="AB291" s="102"/>
      <c r="AC291" s="113"/>
      <c r="AD291" s="113"/>
      <c r="AE291" s="113"/>
    </row>
    <row r="292">
      <c r="A292" s="114">
        <v>7.290000148939E12</v>
      </c>
      <c r="B292" s="104" t="str">
        <f t="shared" si="1"/>
        <v>Kileat-Gat_Almonds, 200g</v>
      </c>
      <c r="C292" s="105">
        <v>0.11</v>
      </c>
      <c r="D292" s="105">
        <v>0.19</v>
      </c>
      <c r="E292" s="105">
        <v>0.02</v>
      </c>
      <c r="F292" s="106">
        <f>ROUND('Meta data'!$B$1/E292,0)</f>
        <v>15</v>
      </c>
      <c r="G292" s="107"/>
      <c r="H292" s="105" t="s">
        <v>2197</v>
      </c>
      <c r="I292" s="119" t="s">
        <v>6461</v>
      </c>
      <c r="J292" s="105" t="s">
        <v>2212</v>
      </c>
      <c r="K292" s="105" t="str">
        <f>IFERROR(__xludf.DUMMYFUNCTION("GOOGLETRANSLATE(J292,""he"",""en"")"),"Almonds, 200g")</f>
        <v>Almonds, 200g</v>
      </c>
      <c r="L292" s="104" t="s">
        <v>2217</v>
      </c>
      <c r="M292" s="105" t="s">
        <v>6365</v>
      </c>
      <c r="N292" s="108" t="s">
        <v>2215</v>
      </c>
      <c r="O292" s="109"/>
      <c r="P292" s="109"/>
      <c r="Q292" s="115" t="s">
        <v>2216</v>
      </c>
      <c r="R292" s="115"/>
      <c r="S292" s="117"/>
      <c r="T292" s="117"/>
      <c r="U292" s="102"/>
      <c r="V292" s="102"/>
      <c r="W292" s="102"/>
      <c r="X292" s="102"/>
      <c r="Y292" s="102"/>
      <c r="Z292" s="102"/>
      <c r="AA292" s="102"/>
      <c r="AB292" s="102"/>
      <c r="AC292" s="113"/>
      <c r="AD292" s="113"/>
      <c r="AE292" s="113"/>
    </row>
    <row r="293">
      <c r="A293" s="114">
        <v>7.290003896141E12</v>
      </c>
      <c r="B293" s="104" t="str">
        <f t="shared" si="1"/>
        <v>Kileat-Gat_Almndos Spanish snack spicy, 200g</v>
      </c>
      <c r="C293" s="105">
        <v>0.11</v>
      </c>
      <c r="D293" s="105">
        <v>0.19</v>
      </c>
      <c r="E293" s="105">
        <v>0.02</v>
      </c>
      <c r="F293" s="106">
        <f>ROUND('Meta data'!$B$1/E293,0)</f>
        <v>15</v>
      </c>
      <c r="G293" s="107"/>
      <c r="H293" s="105" t="s">
        <v>2197</v>
      </c>
      <c r="I293" s="119" t="s">
        <v>6461</v>
      </c>
      <c r="J293" s="105" t="s">
        <v>2206</v>
      </c>
      <c r="K293" s="105" t="str">
        <f>IFERROR(__xludf.DUMMYFUNCTION("GOOGLETRANSLATE(J293,""he"",""en"")"),"Almndos Spanish snack spicy, 200g")</f>
        <v>Almndos Spanish snack spicy, 200g</v>
      </c>
      <c r="L293" s="104" t="s">
        <v>2208</v>
      </c>
      <c r="M293" s="105" t="s">
        <v>6365</v>
      </c>
      <c r="N293" s="108" t="s">
        <v>6448</v>
      </c>
      <c r="O293" s="109"/>
      <c r="P293" s="109"/>
      <c r="Q293" s="115" t="s">
        <v>2209</v>
      </c>
      <c r="R293" s="116"/>
      <c r="S293" s="117"/>
      <c r="T293" s="117"/>
      <c r="U293" s="117"/>
      <c r="V293" s="117"/>
      <c r="W293" s="102"/>
      <c r="X293" s="102"/>
      <c r="Y293" s="102"/>
      <c r="Z293" s="102"/>
      <c r="AA293" s="102"/>
      <c r="AB293" s="102"/>
      <c r="AC293" s="113"/>
      <c r="AD293" s="113"/>
      <c r="AE293" s="113"/>
    </row>
    <row r="294">
      <c r="A294" s="114">
        <v>7.290000377445E12</v>
      </c>
      <c r="B294" s="104" t="str">
        <f t="shared" si="1"/>
        <v>Kileat-Gat_Nstzans 200g</v>
      </c>
      <c r="C294" s="105">
        <v>0.11</v>
      </c>
      <c r="D294" s="105">
        <v>0.19</v>
      </c>
      <c r="E294" s="105">
        <v>0.02</v>
      </c>
      <c r="F294" s="106">
        <f>ROUND('Meta data'!$B$1/E294,0)</f>
        <v>15</v>
      </c>
      <c r="G294" s="107"/>
      <c r="H294" s="105" t="s">
        <v>2197</v>
      </c>
      <c r="I294" s="119" t="s">
        <v>6461</v>
      </c>
      <c r="J294" s="105" t="s">
        <v>2248</v>
      </c>
      <c r="K294" s="105" t="str">
        <f>IFERROR(__xludf.DUMMYFUNCTION("GOOGLETRANSLATE(J294,""he"",""en"")"),"Nstzans 200g")</f>
        <v>Nstzans 200g</v>
      </c>
      <c r="L294" s="104" t="s">
        <v>2252</v>
      </c>
      <c r="M294" s="105" t="s">
        <v>6365</v>
      </c>
      <c r="N294" s="108" t="s">
        <v>6448</v>
      </c>
      <c r="O294" s="109"/>
      <c r="P294" s="109"/>
      <c r="Q294" s="115" t="s">
        <v>2251</v>
      </c>
      <c r="R294" s="116"/>
      <c r="S294" s="117"/>
      <c r="T294" s="112"/>
      <c r="U294" s="102"/>
      <c r="V294" s="102"/>
      <c r="W294" s="102"/>
      <c r="X294" s="102"/>
      <c r="Y294" s="102"/>
      <c r="Z294" s="102"/>
      <c r="AA294" s="102"/>
      <c r="AB294" s="102"/>
      <c r="AC294" s="113"/>
      <c r="AD294" s="113"/>
      <c r="AE294" s="113"/>
    </row>
    <row r="295">
      <c r="A295" s="130">
        <v>7.290003142699E12</v>
      </c>
      <c r="B295" s="104" t="str">
        <f t="shared" si="1"/>
        <v>Kileat-Gat_Peanuts 150g spicy sour</v>
      </c>
      <c r="C295" s="105">
        <v>0.1186</v>
      </c>
      <c r="D295" s="105">
        <v>0.19</v>
      </c>
      <c r="E295" s="105">
        <v>0.03</v>
      </c>
      <c r="F295" s="131">
        <v>15.0</v>
      </c>
      <c r="G295" s="107"/>
      <c r="H295" s="105" t="s">
        <v>2197</v>
      </c>
      <c r="I295" s="119" t="s">
        <v>6461</v>
      </c>
      <c r="J295" s="105" t="s">
        <v>2254</v>
      </c>
      <c r="K295" s="105" t="str">
        <f>IFERROR(__xludf.DUMMYFUNCTION("GOOGLETRANSLATE(J295,""he"",""en"")"),"Peanuts 150g spicy sour")</f>
        <v>Peanuts 150g spicy sour</v>
      </c>
      <c r="L295" s="104" t="s">
        <v>2256</v>
      </c>
      <c r="M295" s="105" t="s">
        <v>6365</v>
      </c>
      <c r="N295" s="108" t="s">
        <v>6448</v>
      </c>
      <c r="O295" s="109"/>
      <c r="P295" s="109"/>
      <c r="Q295" s="115" t="s">
        <v>2257</v>
      </c>
      <c r="R295" s="116"/>
      <c r="S295" s="117"/>
      <c r="T295" s="117"/>
      <c r="U295" s="118"/>
      <c r="V295" s="117"/>
      <c r="W295" s="102"/>
      <c r="X295" s="102"/>
      <c r="Y295" s="102"/>
      <c r="Z295" s="102"/>
      <c r="AA295" s="102"/>
      <c r="AB295" s="102"/>
      <c r="AC295" s="113"/>
      <c r="AD295" s="113"/>
      <c r="AE295" s="113"/>
    </row>
    <row r="296">
      <c r="A296" s="130">
        <v>7.290111351327E12</v>
      </c>
      <c r="B296" s="104" t="str">
        <f t="shared" si="1"/>
        <v>Kileat-Gat_Mixed nuts roasted without salt 100g</v>
      </c>
      <c r="C296" s="105">
        <v>0.297</v>
      </c>
      <c r="D296" s="105">
        <v>0.19</v>
      </c>
      <c r="E296" s="105">
        <v>0.03</v>
      </c>
      <c r="F296" s="131">
        <v>15.0</v>
      </c>
      <c r="G296" s="107"/>
      <c r="H296" s="105" t="s">
        <v>2197</v>
      </c>
      <c r="I296" s="119" t="s">
        <v>6461</v>
      </c>
      <c r="J296" s="105" t="s">
        <v>2243</v>
      </c>
      <c r="K296" s="105" t="str">
        <f>IFERROR(__xludf.DUMMYFUNCTION("GOOGLETRANSLATE(J296,""he"",""en"")"),"Mixed nuts roasted without salt 100g")</f>
        <v>Mixed nuts roasted without salt 100g</v>
      </c>
      <c r="L296" s="104" t="s">
        <v>2245</v>
      </c>
      <c r="M296" s="105" t="s">
        <v>6365</v>
      </c>
      <c r="N296" s="108" t="s">
        <v>6448</v>
      </c>
      <c r="O296" s="109"/>
      <c r="P296" s="109"/>
      <c r="Q296" s="115" t="s">
        <v>2246</v>
      </c>
      <c r="R296" s="116"/>
      <c r="S296" s="117"/>
      <c r="T296" s="117"/>
      <c r="U296" s="102"/>
      <c r="V296" s="102"/>
      <c r="W296" s="102"/>
      <c r="X296" s="102"/>
      <c r="Y296" s="102"/>
      <c r="Z296" s="102"/>
      <c r="AA296" s="102"/>
      <c r="AB296" s="102"/>
      <c r="AC296" s="113"/>
      <c r="AD296" s="113"/>
      <c r="AE296" s="113"/>
    </row>
    <row r="297">
      <c r="A297" s="114">
        <v>4.0084107E7</v>
      </c>
      <c r="B297" s="104" t="str">
        <f t="shared" si="1"/>
        <v>Kinder_Kinder surprise egg</v>
      </c>
      <c r="C297" s="105">
        <v>0.045</v>
      </c>
      <c r="D297" s="105">
        <v>0.065</v>
      </c>
      <c r="E297" s="105">
        <v>0.045</v>
      </c>
      <c r="F297" s="106">
        <f>ROUND('Meta data'!$B$1/E297,0)</f>
        <v>7</v>
      </c>
      <c r="G297" s="107"/>
      <c r="H297" s="105" t="s">
        <v>2099</v>
      </c>
      <c r="I297" s="105" t="str">
        <f>IFERROR(__xludf.DUMMYFUNCTION("GOOGLETRANSLATE(H297,""he"",""en"")"),"Kinder")</f>
        <v>Kinder</v>
      </c>
      <c r="J297" s="105" t="s">
        <v>2137</v>
      </c>
      <c r="K297" s="105" t="str">
        <f>IFERROR(__xludf.DUMMYFUNCTION("GOOGLETRANSLATE(J297,""he"",""en"")"),"Kinder surprise egg")</f>
        <v>Kinder surprise egg</v>
      </c>
      <c r="L297" s="104" t="s">
        <v>2141</v>
      </c>
      <c r="M297" s="105" t="s">
        <v>6445</v>
      </c>
      <c r="N297" s="108" t="s">
        <v>6463</v>
      </c>
      <c r="O297" s="109"/>
      <c r="P297" s="109"/>
      <c r="Q297" s="115" t="s">
        <v>2140</v>
      </c>
      <c r="R297" s="13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13"/>
      <c r="AD297" s="113"/>
      <c r="AE297" s="113"/>
    </row>
    <row r="298">
      <c r="A298" s="114">
        <v>8.0768258E7</v>
      </c>
      <c r="B298" s="104" t="str">
        <f t="shared" si="1"/>
        <v>Kinder_Kinder Joy Pink</v>
      </c>
      <c r="C298" s="105">
        <v>0.05</v>
      </c>
      <c r="D298" s="105">
        <v>0.07</v>
      </c>
      <c r="E298" s="105">
        <v>0.055</v>
      </c>
      <c r="F298" s="106">
        <f>ROUND('Meta data'!$B$1/E298,0)</f>
        <v>5</v>
      </c>
      <c r="G298" s="107"/>
      <c r="H298" s="105" t="s">
        <v>2099</v>
      </c>
      <c r="I298" s="105" t="str">
        <f>IFERROR(__xludf.DUMMYFUNCTION("GOOGLETRANSLATE(H298,""he"",""en"")"),"Kinder")</f>
        <v>Kinder</v>
      </c>
      <c r="J298" s="105" t="s">
        <v>2131</v>
      </c>
      <c r="K298" s="105" t="str">
        <f>IFERROR(__xludf.DUMMYFUNCTION("GOOGLETRANSLATE(J298,""he"",""en"")"),"Kinder Joy Pink")</f>
        <v>Kinder Joy Pink</v>
      </c>
      <c r="L298" s="104" t="s">
        <v>2135</v>
      </c>
      <c r="M298" s="105" t="s">
        <v>6445</v>
      </c>
      <c r="N298" s="108" t="s">
        <v>6463</v>
      </c>
      <c r="O298" s="109"/>
      <c r="P298" s="109"/>
      <c r="Q298" s="115" t="s">
        <v>2134</v>
      </c>
      <c r="R298" s="116"/>
      <c r="S298" s="117"/>
      <c r="T298" s="118"/>
      <c r="U298" s="117"/>
      <c r="V298" s="102"/>
      <c r="W298" s="102"/>
      <c r="X298" s="102"/>
      <c r="Y298" s="102"/>
      <c r="Z298" s="102"/>
      <c r="AA298" s="102"/>
      <c r="AB298" s="102"/>
      <c r="AC298" s="113"/>
      <c r="AD298" s="113"/>
      <c r="AE298" s="113"/>
    </row>
    <row r="299">
      <c r="A299" s="114">
        <v>8.0974482E7</v>
      </c>
      <c r="B299" s="104" t="str">
        <f t="shared" si="1"/>
        <v>Kinder_Kinder Joy Blue</v>
      </c>
      <c r="C299" s="105">
        <v>0.05</v>
      </c>
      <c r="D299" s="105">
        <v>0.07</v>
      </c>
      <c r="E299" s="105">
        <v>0.055</v>
      </c>
      <c r="F299" s="106">
        <f>ROUND('Meta data'!$B$1/E299,0)</f>
        <v>5</v>
      </c>
      <c r="G299" s="107"/>
      <c r="H299" s="105" t="s">
        <v>2099</v>
      </c>
      <c r="I299" s="105" t="str">
        <f>IFERROR(__xludf.DUMMYFUNCTION("GOOGLETRANSLATE(H299,""he"",""en"")"),"Kinder")</f>
        <v>Kinder</v>
      </c>
      <c r="J299" s="105" t="s">
        <v>2123</v>
      </c>
      <c r="K299" s="105" t="str">
        <f>IFERROR(__xludf.DUMMYFUNCTION("GOOGLETRANSLATE(J299,""he"",""en"")"),"Kinder Joy Blue")</f>
        <v>Kinder Joy Blue</v>
      </c>
      <c r="L299" s="104" t="s">
        <v>2128</v>
      </c>
      <c r="M299" s="105" t="s">
        <v>6445</v>
      </c>
      <c r="N299" s="108" t="s">
        <v>6463</v>
      </c>
      <c r="O299" s="109"/>
      <c r="P299" s="109"/>
      <c r="Q299" s="115" t="s">
        <v>2127</v>
      </c>
      <c r="R299" s="115"/>
      <c r="S299" s="117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13"/>
      <c r="AD299" s="113"/>
      <c r="AE299" s="113"/>
    </row>
    <row r="300">
      <c r="A300" s="114">
        <v>8.0761761E7</v>
      </c>
      <c r="B300" s="104" t="str">
        <f t="shared" si="1"/>
        <v>Kinder_Kinder Bueno White</v>
      </c>
      <c r="C300" s="105">
        <v>0.155</v>
      </c>
      <c r="D300" s="105">
        <v>0.055</v>
      </c>
      <c r="E300" s="105">
        <v>0.02</v>
      </c>
      <c r="F300" s="106">
        <f>ROUND('Meta data'!$B$1/E300,0)</f>
        <v>15</v>
      </c>
      <c r="G300" s="107"/>
      <c r="H300" s="105" t="s">
        <v>2099</v>
      </c>
      <c r="I300" s="105" t="str">
        <f>IFERROR(__xludf.DUMMYFUNCTION("GOOGLETRANSLATE(H300,""he"",""en"")"),"Kinder")</f>
        <v>Kinder</v>
      </c>
      <c r="J300" s="105" t="s">
        <v>2101</v>
      </c>
      <c r="K300" s="105" t="str">
        <f>IFERROR(__xludf.DUMMYFUNCTION("GOOGLETRANSLATE(J300,""he"",""en"")"),"Kinder Bueno White")</f>
        <v>Kinder Bueno White</v>
      </c>
      <c r="L300" s="104" t="s">
        <v>2105</v>
      </c>
      <c r="M300" s="105" t="s">
        <v>6302</v>
      </c>
      <c r="N300" s="108" t="s">
        <v>6303</v>
      </c>
      <c r="O300" s="109"/>
      <c r="P300" s="109"/>
      <c r="Q300" s="115" t="s">
        <v>2104</v>
      </c>
      <c r="R300" s="116"/>
      <c r="S300" s="118"/>
      <c r="T300" s="117"/>
      <c r="U300" s="102"/>
      <c r="V300" s="102"/>
      <c r="W300" s="102"/>
      <c r="X300" s="102"/>
      <c r="Y300" s="102"/>
      <c r="Z300" s="102"/>
      <c r="AA300" s="102"/>
      <c r="AB300" s="102"/>
      <c r="AC300" s="113"/>
      <c r="AD300" s="113"/>
      <c r="AE300" s="113"/>
    </row>
    <row r="301">
      <c r="A301" s="114">
        <v>8.000500267035E12</v>
      </c>
      <c r="B301" s="104" t="str">
        <f t="shared" si="1"/>
        <v>Kinder_Kinder Dellys single piece</v>
      </c>
      <c r="C301" s="105">
        <v>0.145</v>
      </c>
      <c r="D301" s="105">
        <v>0.065</v>
      </c>
      <c r="E301" s="105">
        <v>0.02</v>
      </c>
      <c r="F301" s="106">
        <f>ROUND('Meta data'!$B$1/E301,0)</f>
        <v>15</v>
      </c>
      <c r="G301" s="107"/>
      <c r="H301" s="105" t="s">
        <v>2099</v>
      </c>
      <c r="I301" s="105" t="str">
        <f>IFERROR(__xludf.DUMMYFUNCTION("GOOGLETRANSLATE(H301,""he"",""en"")"),"Kinder")</f>
        <v>Kinder</v>
      </c>
      <c r="J301" s="105" t="s">
        <v>2115</v>
      </c>
      <c r="K301" s="105" t="str">
        <f>IFERROR(__xludf.DUMMYFUNCTION("GOOGLETRANSLATE(J301,""he"",""en"")"),"Kinder Dellys single piece")</f>
        <v>Kinder Dellys single piece</v>
      </c>
      <c r="L301" s="104" t="s">
        <v>2119</v>
      </c>
      <c r="M301" s="105" t="s">
        <v>6302</v>
      </c>
      <c r="N301" s="108" t="s">
        <v>6303</v>
      </c>
      <c r="O301" s="109"/>
      <c r="P301" s="109"/>
      <c r="Q301" s="111" t="s">
        <v>2118</v>
      </c>
      <c r="R301" s="115"/>
      <c r="S301" s="11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13"/>
      <c r="AD301" s="113"/>
      <c r="AE301" s="113"/>
    </row>
    <row r="302">
      <c r="A302" s="114">
        <v>8.017718E7</v>
      </c>
      <c r="B302" s="104" t="str">
        <f t="shared" si="1"/>
        <v>Kinder_Kinder chocolate with grains 23.5 g</v>
      </c>
      <c r="C302" s="105">
        <v>0.04</v>
      </c>
      <c r="D302" s="105">
        <v>0.11</v>
      </c>
      <c r="E302" s="105">
        <v>0.01</v>
      </c>
      <c r="F302" s="106">
        <f>ROUND('Meta data'!$B$1/E302,0)</f>
        <v>30</v>
      </c>
      <c r="G302" s="107"/>
      <c r="H302" s="105" t="s">
        <v>2099</v>
      </c>
      <c r="I302" s="105" t="str">
        <f>IFERROR(__xludf.DUMMYFUNCTION("GOOGLETRANSLATE(H302,""he"",""en"")"),"Kinder")</f>
        <v>Kinder</v>
      </c>
      <c r="J302" s="105" t="s">
        <v>2108</v>
      </c>
      <c r="K302" s="105" t="str">
        <f>IFERROR(__xludf.DUMMYFUNCTION("GOOGLETRANSLATE(J302,""he"",""en"")"),"Kinder chocolate with grains 23.5 g")</f>
        <v>Kinder chocolate with grains 23.5 g</v>
      </c>
      <c r="L302" s="104" t="s">
        <v>2112</v>
      </c>
      <c r="M302" s="105" t="s">
        <v>6445</v>
      </c>
      <c r="N302" s="108" t="s">
        <v>6446</v>
      </c>
      <c r="O302" s="109"/>
      <c r="P302" s="109"/>
      <c r="Q302" s="115" t="s">
        <v>2111</v>
      </c>
      <c r="R302" s="116"/>
      <c r="S302" s="117"/>
      <c r="T302" s="117"/>
      <c r="U302" s="118"/>
      <c r="V302" s="102"/>
      <c r="W302" s="102"/>
      <c r="X302" s="102"/>
      <c r="Y302" s="102"/>
      <c r="Z302" s="102"/>
      <c r="AA302" s="102"/>
      <c r="AB302" s="102"/>
      <c r="AC302" s="113"/>
      <c r="AD302" s="113"/>
      <c r="AE302" s="113"/>
    </row>
    <row r="303">
      <c r="A303" s="114">
        <v>5.413548280189E12</v>
      </c>
      <c r="B303" s="104" t="str">
        <f t="shared" si="1"/>
        <v>Kinder_Sokobons 125 g</v>
      </c>
      <c r="C303" s="105">
        <v>0.135</v>
      </c>
      <c r="D303" s="105">
        <v>0.165</v>
      </c>
      <c r="E303" s="105">
        <v>0.03</v>
      </c>
      <c r="F303" s="106">
        <f>ROUND('Meta data'!$B$1/E303,0)</f>
        <v>10</v>
      </c>
      <c r="G303" s="107"/>
      <c r="H303" s="105" t="s">
        <v>2099</v>
      </c>
      <c r="I303" s="105" t="str">
        <f>IFERROR(__xludf.DUMMYFUNCTION("GOOGLETRANSLATE(H303,""he"",""en"")"),"Kinder")</f>
        <v>Kinder</v>
      </c>
      <c r="J303" s="105" t="s">
        <v>2147</v>
      </c>
      <c r="K303" s="105" t="str">
        <f>IFERROR(__xludf.DUMMYFUNCTION("GOOGLETRANSLATE(J303,""he"",""en"")"),"Sokobons 125 g")</f>
        <v>Sokobons 125 g</v>
      </c>
      <c r="L303" s="104" t="s">
        <v>2151</v>
      </c>
      <c r="M303" s="105" t="s">
        <v>6445</v>
      </c>
      <c r="N303" s="108" t="s">
        <v>6446</v>
      </c>
      <c r="O303" s="109"/>
      <c r="P303" s="109"/>
      <c r="Q303" s="115" t="s">
        <v>2150</v>
      </c>
      <c r="R303" s="111"/>
      <c r="S303" s="117"/>
      <c r="T303" s="117"/>
      <c r="U303" s="117"/>
      <c r="V303" s="102"/>
      <c r="W303" s="102"/>
      <c r="X303" s="102"/>
      <c r="Y303" s="102"/>
      <c r="Z303" s="102"/>
      <c r="AA303" s="102"/>
      <c r="AB303" s="102"/>
      <c r="AC303" s="113"/>
      <c r="AD303" s="113"/>
      <c r="AE303" s="113"/>
    </row>
    <row r="304">
      <c r="A304" s="114">
        <v>7.29000159423E12</v>
      </c>
      <c r="B304" s="104" t="str">
        <f t="shared" si="1"/>
        <v>Kinley_Kinley Soda 250 ml</v>
      </c>
      <c r="C304" s="105">
        <v>0.06</v>
      </c>
      <c r="D304" s="105">
        <v>0.205</v>
      </c>
      <c r="E304" s="105">
        <v>0.06</v>
      </c>
      <c r="F304" s="106">
        <f>ROUND('Meta data'!$B$1/E304,0)</f>
        <v>5</v>
      </c>
      <c r="G304" s="107"/>
      <c r="H304" s="105" t="s">
        <v>2153</v>
      </c>
      <c r="I304" s="105" t="str">
        <f>IFERROR(__xludf.DUMMYFUNCTION("GOOGLETRANSLATE(H304,""he"",""en"")"),"Kinley")</f>
        <v>Kinley</v>
      </c>
      <c r="J304" s="105" t="s">
        <v>2163</v>
      </c>
      <c r="K304" s="105" t="str">
        <f>IFERROR(__xludf.DUMMYFUNCTION("GOOGLETRANSLATE(J304,""he"",""en"")"),"Kinley Soda 250 ml")</f>
        <v>Kinley Soda 250 ml</v>
      </c>
      <c r="L304" s="104" t="s">
        <v>2168</v>
      </c>
      <c r="M304" s="105" t="s">
        <v>6464</v>
      </c>
      <c r="N304" s="108" t="s">
        <v>6465</v>
      </c>
      <c r="O304" s="109"/>
      <c r="P304" s="109"/>
      <c r="Q304" s="115" t="s">
        <v>2167</v>
      </c>
      <c r="R304" s="116"/>
      <c r="S304" s="117"/>
      <c r="T304" s="117"/>
      <c r="U304" s="117"/>
      <c r="V304" s="118"/>
      <c r="W304" s="102"/>
      <c r="X304" s="102"/>
      <c r="Y304" s="102"/>
      <c r="Z304" s="102"/>
      <c r="AA304" s="102"/>
      <c r="AB304" s="102"/>
      <c r="AC304" s="113"/>
      <c r="AD304" s="113"/>
      <c r="AE304" s="113"/>
    </row>
    <row r="305">
      <c r="A305" s="114">
        <v>7.290000284347E12</v>
      </c>
      <c r="B305" s="104" t="str">
        <f t="shared" si="1"/>
        <v>Kinley_Kinley 1.5-liter soda</v>
      </c>
      <c r="C305" s="105">
        <v>0.095</v>
      </c>
      <c r="D305" s="105">
        <v>0.333</v>
      </c>
      <c r="E305" s="105">
        <v>0.095</v>
      </c>
      <c r="F305" s="106">
        <f>ROUND('Meta data'!$B$1/E305,0)</f>
        <v>3</v>
      </c>
      <c r="G305" s="107"/>
      <c r="H305" s="105" t="s">
        <v>2153</v>
      </c>
      <c r="I305" s="105" t="str">
        <f>IFERROR(__xludf.DUMMYFUNCTION("GOOGLETRANSLATE(H305,""he"",""en"")"),"Kinley")</f>
        <v>Kinley</v>
      </c>
      <c r="J305" s="105" t="s">
        <v>2155</v>
      </c>
      <c r="K305" s="105" t="str">
        <f>IFERROR(__xludf.DUMMYFUNCTION("GOOGLETRANSLATE(J305,""he"",""en"")"),"Kinley 1.5-liter soda")</f>
        <v>Kinley 1.5-liter soda</v>
      </c>
      <c r="L305" s="104" t="s">
        <v>2161</v>
      </c>
      <c r="M305" s="105" t="s">
        <v>6464</v>
      </c>
      <c r="N305" s="108" t="s">
        <v>6466</v>
      </c>
      <c r="O305" s="109"/>
      <c r="P305" s="109"/>
      <c r="Q305" s="111" t="s">
        <v>2160</v>
      </c>
      <c r="R305" s="111"/>
      <c r="S305" s="11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13"/>
      <c r="AD305" s="113"/>
      <c r="AE305" s="113"/>
    </row>
    <row r="306">
      <c r="A306" s="114">
        <v>4.0052403E7</v>
      </c>
      <c r="B306" s="104" t="str">
        <f t="shared" si="1"/>
        <v>Kit-Kat_Kit Kat 4 fingers 36 * 41.5 g N1</v>
      </c>
      <c r="C306" s="105">
        <v>0.097</v>
      </c>
      <c r="D306" s="105">
        <v>0.064</v>
      </c>
      <c r="E306" s="105">
        <v>0.01</v>
      </c>
      <c r="F306" s="106">
        <f>ROUND('Meta data'!$B$1/E306,0)</f>
        <v>30</v>
      </c>
      <c r="G306" s="107"/>
      <c r="H306" s="105" t="s">
        <v>2170</v>
      </c>
      <c r="I306" s="105" t="str">
        <f>IFERROR(__xludf.DUMMYFUNCTION("GOOGLETRANSLATE(H306,""he"",""en"")"),"Kit Kat")</f>
        <v>Kit Kat</v>
      </c>
      <c r="J306" s="105" t="s">
        <v>2172</v>
      </c>
      <c r="K306" s="105" t="str">
        <f>IFERROR(__xludf.DUMMYFUNCTION("GOOGLETRANSLATE(J306,""he"",""en"")"),"Kit Kat 4 fingers 36 * 41.5 g N1")</f>
        <v>Kit Kat 4 fingers 36 * 41.5 g N1</v>
      </c>
      <c r="L306" s="104" t="s">
        <v>2176</v>
      </c>
      <c r="M306" s="105" t="s">
        <v>6302</v>
      </c>
      <c r="N306" s="108" t="s">
        <v>6303</v>
      </c>
      <c r="O306" s="109"/>
      <c r="P306" s="109"/>
      <c r="Q306" s="115" t="s">
        <v>2175</v>
      </c>
      <c r="R306" s="116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13"/>
      <c r="AD306" s="113"/>
      <c r="AE306" s="113"/>
    </row>
    <row r="307">
      <c r="A307" s="114">
        <v>3.800020491393E12</v>
      </c>
      <c r="B307" s="104" t="str">
        <f t="shared" si="1"/>
        <v>Kit-Kat_Kit Kat Chunky cookie dough 24 * 42 g</v>
      </c>
      <c r="C307" s="105">
        <v>0.12</v>
      </c>
      <c r="D307" s="105">
        <v>0.03</v>
      </c>
      <c r="E307" s="105">
        <v>0.018</v>
      </c>
      <c r="F307" s="106">
        <f>ROUND('Meta data'!$B$1/E307,0)</f>
        <v>17</v>
      </c>
      <c r="G307" s="107"/>
      <c r="H307" s="105" t="s">
        <v>2170</v>
      </c>
      <c r="I307" s="105" t="str">
        <f>IFERROR(__xludf.DUMMYFUNCTION("GOOGLETRANSLATE(H307,""he"",""en"")"),"Kit Kat")</f>
        <v>Kit Kat</v>
      </c>
      <c r="J307" s="105" t="s">
        <v>2179</v>
      </c>
      <c r="K307" s="105" t="str">
        <f>IFERROR(__xludf.DUMMYFUNCTION("GOOGLETRANSLATE(J307,""he"",""en"")"),"Kit Kat Chunky cookie dough 24 * 42 g")</f>
        <v>Kit Kat Chunky cookie dough 24 * 42 g</v>
      </c>
      <c r="L307" s="104" t="s">
        <v>2183</v>
      </c>
      <c r="M307" s="105" t="s">
        <v>6302</v>
      </c>
      <c r="N307" s="108" t="s">
        <v>6303</v>
      </c>
      <c r="O307" s="109"/>
      <c r="P307" s="109"/>
      <c r="Q307" s="115" t="s">
        <v>2182</v>
      </c>
      <c r="R307" s="101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13"/>
      <c r="AD307" s="113"/>
      <c r="AE307" s="113"/>
    </row>
    <row r="308">
      <c r="A308" s="114">
        <v>3.800020423578E12</v>
      </c>
      <c r="B308" s="104" t="str">
        <f t="shared" si="1"/>
        <v>Kit-Kat_Kit Kat Chunky Milk 36 * 40 g N7</v>
      </c>
      <c r="C308" s="105">
        <v>0.12</v>
      </c>
      <c r="D308" s="105">
        <v>0.03</v>
      </c>
      <c r="E308" s="105">
        <v>0.018</v>
      </c>
      <c r="F308" s="106">
        <f>ROUND('Meta data'!$B$1/E308,0)</f>
        <v>17</v>
      </c>
      <c r="G308" s="107"/>
      <c r="H308" s="105" t="s">
        <v>2170</v>
      </c>
      <c r="I308" s="105" t="str">
        <f>IFERROR(__xludf.DUMMYFUNCTION("GOOGLETRANSLATE(H308,""he"",""en"")"),"Kit Kat")</f>
        <v>Kit Kat</v>
      </c>
      <c r="J308" s="105" t="s">
        <v>2185</v>
      </c>
      <c r="K308" s="105" t="str">
        <f>IFERROR(__xludf.DUMMYFUNCTION("GOOGLETRANSLATE(J308,""he"",""en"")"),"Kit Kat Chunky Milk 36 * 40 g N7")</f>
        <v>Kit Kat Chunky Milk 36 * 40 g N7</v>
      </c>
      <c r="L308" s="104" t="s">
        <v>2189</v>
      </c>
      <c r="M308" s="105" t="s">
        <v>6302</v>
      </c>
      <c r="N308" s="108" t="s">
        <v>6303</v>
      </c>
      <c r="O308" s="109"/>
      <c r="P308" s="109"/>
      <c r="Q308" s="115" t="s">
        <v>2188</v>
      </c>
      <c r="R308" s="116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13"/>
      <c r="AD308" s="113"/>
      <c r="AE308" s="113"/>
    </row>
    <row r="309">
      <c r="A309" s="114">
        <v>3.80002041813E12</v>
      </c>
      <c r="B309" s="104" t="str">
        <f t="shared" si="1"/>
        <v>Kit-Kat_Kit Kat salted caramel 42 g 24 *</v>
      </c>
      <c r="C309" s="105">
        <v>0.12</v>
      </c>
      <c r="D309" s="105">
        <v>0.03</v>
      </c>
      <c r="E309" s="105">
        <v>0.018</v>
      </c>
      <c r="F309" s="106">
        <f>ROUND('Meta data'!$B$1/E309,0)</f>
        <v>17</v>
      </c>
      <c r="G309" s="107"/>
      <c r="H309" s="105" t="s">
        <v>2170</v>
      </c>
      <c r="I309" s="105" t="str">
        <f>IFERROR(__xludf.DUMMYFUNCTION("GOOGLETRANSLATE(H309,""he"",""en"")"),"Kit Kat")</f>
        <v>Kit Kat</v>
      </c>
      <c r="J309" s="105" t="s">
        <v>2191</v>
      </c>
      <c r="K309" s="105" t="str">
        <f>IFERROR(__xludf.DUMMYFUNCTION("GOOGLETRANSLATE(J309,""he"",""en"")"),"Kit Kat salted caramel 42 g 24 *")</f>
        <v>Kit Kat salted caramel 42 g 24 *</v>
      </c>
      <c r="L309" s="104" t="s">
        <v>2195</v>
      </c>
      <c r="M309" s="105" t="s">
        <v>6302</v>
      </c>
      <c r="N309" s="108" t="s">
        <v>6303</v>
      </c>
      <c r="O309" s="109"/>
      <c r="P309" s="109"/>
      <c r="Q309" s="115" t="s">
        <v>2194</v>
      </c>
      <c r="R309" s="116"/>
      <c r="S309" s="118"/>
      <c r="T309" s="117"/>
      <c r="U309" s="102"/>
      <c r="V309" s="102"/>
      <c r="W309" s="102"/>
      <c r="X309" s="102"/>
      <c r="Y309" s="102"/>
      <c r="Z309" s="102"/>
      <c r="AA309" s="102"/>
      <c r="AB309" s="102"/>
      <c r="AC309" s="113"/>
      <c r="AD309" s="113"/>
      <c r="AE309" s="113"/>
    </row>
    <row r="310">
      <c r="A310" s="114">
        <v>7.290000074481E12</v>
      </c>
      <c r="B310" s="104" t="str">
        <f t="shared" si="1"/>
        <v>lahmit_lahmit nuts, 160 g</v>
      </c>
      <c r="C310" s="105">
        <v>0.14</v>
      </c>
      <c r="D310" s="105">
        <v>0.135</v>
      </c>
      <c r="E310" s="105">
        <v>0.044</v>
      </c>
      <c r="F310" s="106">
        <f>ROUND('Meta data'!$B$1/E310,0)</f>
        <v>7</v>
      </c>
      <c r="G310" s="107"/>
      <c r="H310" s="105" t="s">
        <v>2317</v>
      </c>
      <c r="I310" s="119" t="s">
        <v>6467</v>
      </c>
      <c r="J310" s="105" t="s">
        <v>2319</v>
      </c>
      <c r="K310" s="119" t="s">
        <v>6468</v>
      </c>
      <c r="L310" s="104" t="s">
        <v>2323</v>
      </c>
      <c r="M310" s="105" t="s">
        <v>6371</v>
      </c>
      <c r="N310" s="108" t="s">
        <v>2317</v>
      </c>
      <c r="O310" s="109"/>
      <c r="P310" s="109"/>
      <c r="Q310" s="115" t="s">
        <v>2322</v>
      </c>
      <c r="R310" s="116"/>
      <c r="S310" s="117"/>
      <c r="T310" s="117"/>
      <c r="U310" s="118"/>
      <c r="V310" s="102"/>
      <c r="W310" s="102"/>
      <c r="X310" s="102"/>
      <c r="Y310" s="102"/>
      <c r="Z310" s="102"/>
      <c r="AA310" s="102"/>
      <c r="AB310" s="102"/>
      <c r="AC310" s="113"/>
      <c r="AD310" s="113"/>
      <c r="AE310" s="113"/>
    </row>
    <row r="311">
      <c r="A311" s="114">
        <v>7.290000075204E12</v>
      </c>
      <c r="B311" s="104" t="str">
        <f t="shared" si="1"/>
        <v>lahmit_Lahmit wheat, 250 g</v>
      </c>
      <c r="C311" s="105">
        <v>0.14</v>
      </c>
      <c r="D311" s="105">
        <v>0.13</v>
      </c>
      <c r="E311" s="105">
        <v>0.044</v>
      </c>
      <c r="F311" s="106">
        <f>ROUND('Meta data'!$B$1/E311,0)</f>
        <v>7</v>
      </c>
      <c r="G311" s="107"/>
      <c r="H311" s="105" t="s">
        <v>2317</v>
      </c>
      <c r="I311" s="119" t="s">
        <v>6467</v>
      </c>
      <c r="J311" s="105" t="s">
        <v>2331</v>
      </c>
      <c r="K311" s="119" t="s">
        <v>6469</v>
      </c>
      <c r="L311" s="104" t="s">
        <v>2335</v>
      </c>
      <c r="M311" s="105" t="s">
        <v>6371</v>
      </c>
      <c r="N311" s="108" t="s">
        <v>2317</v>
      </c>
      <c r="O311" s="109"/>
      <c r="P311" s="109"/>
      <c r="Q311" s="115" t="s">
        <v>2334</v>
      </c>
      <c r="R311" s="116"/>
      <c r="S311" s="117"/>
      <c r="T311" s="117"/>
      <c r="U311" s="118"/>
      <c r="V311" s="102"/>
      <c r="W311" s="102"/>
      <c r="X311" s="102"/>
      <c r="Y311" s="102"/>
      <c r="Z311" s="102"/>
      <c r="AA311" s="102"/>
      <c r="AB311" s="102"/>
      <c r="AC311" s="113"/>
      <c r="AD311" s="113"/>
      <c r="AE311" s="113"/>
    </row>
    <row r="312">
      <c r="A312" s="114">
        <v>7.290000077253E12</v>
      </c>
      <c r="B312" s="104" t="str">
        <f t="shared" si="1"/>
        <v>lahmit_Rural Lahmit 190 g</v>
      </c>
      <c r="C312" s="105">
        <v>0.14</v>
      </c>
      <c r="D312" s="105">
        <v>0.13</v>
      </c>
      <c r="E312" s="105">
        <v>0.044</v>
      </c>
      <c r="F312" s="106">
        <f>ROUND('Meta data'!$B$1/E312,0)</f>
        <v>7</v>
      </c>
      <c r="G312" s="107"/>
      <c r="H312" s="105" t="s">
        <v>2317</v>
      </c>
      <c r="I312" s="119" t="s">
        <v>6467</v>
      </c>
      <c r="J312" s="105" t="s">
        <v>2337</v>
      </c>
      <c r="K312" s="119" t="s">
        <v>6470</v>
      </c>
      <c r="L312" s="104" t="s">
        <v>2341</v>
      </c>
      <c r="M312" s="105" t="s">
        <v>6371</v>
      </c>
      <c r="N312" s="108" t="s">
        <v>2317</v>
      </c>
      <c r="O312" s="109"/>
      <c r="P312" s="109"/>
      <c r="Q312" s="115" t="s">
        <v>2340</v>
      </c>
      <c r="R312" s="116"/>
      <c r="S312" s="118"/>
      <c r="T312" s="117"/>
      <c r="U312" s="117"/>
      <c r="V312" s="102"/>
      <c r="W312" s="102"/>
      <c r="X312" s="102"/>
      <c r="Y312" s="102"/>
      <c r="Z312" s="102"/>
      <c r="AA312" s="102"/>
      <c r="AB312" s="102"/>
      <c r="AC312" s="113"/>
      <c r="AD312" s="113"/>
      <c r="AE312" s="113"/>
    </row>
    <row r="313">
      <c r="A313" s="114">
        <v>7.290006983176E12</v>
      </c>
      <c r="B313" s="104" t="str">
        <f t="shared" si="1"/>
        <v>lahmit_Lahmit Rye barn 250g</v>
      </c>
      <c r="C313" s="105">
        <v>0.14</v>
      </c>
      <c r="D313" s="105">
        <v>0.135</v>
      </c>
      <c r="E313" s="105">
        <v>0.044</v>
      </c>
      <c r="F313" s="106">
        <f>ROUND('Meta data'!$B$1/E313,0)</f>
        <v>7</v>
      </c>
      <c r="G313" s="107"/>
      <c r="H313" s="105" t="s">
        <v>2317</v>
      </c>
      <c r="I313" s="119" t="s">
        <v>6467</v>
      </c>
      <c r="J313" s="105" t="s">
        <v>2325</v>
      </c>
      <c r="K313" s="119" t="s">
        <v>6471</v>
      </c>
      <c r="L313" s="104" t="s">
        <v>2329</v>
      </c>
      <c r="M313" s="105" t="s">
        <v>6371</v>
      </c>
      <c r="N313" s="108" t="s">
        <v>2317</v>
      </c>
      <c r="O313" s="109"/>
      <c r="P313" s="109"/>
      <c r="Q313" s="115" t="s">
        <v>2328</v>
      </c>
      <c r="R313" s="116"/>
      <c r="S313" s="117"/>
      <c r="T313" s="118"/>
      <c r="U313" s="117"/>
      <c r="V313" s="102"/>
      <c r="W313" s="102"/>
      <c r="X313" s="102"/>
      <c r="Y313" s="102"/>
      <c r="Z313" s="102"/>
      <c r="AA313" s="102"/>
      <c r="AB313" s="102"/>
      <c r="AC313" s="113"/>
      <c r="AD313" s="113"/>
      <c r="AE313" s="113"/>
    </row>
    <row r="314">
      <c r="A314" s="114">
        <v>7.29001406638E12</v>
      </c>
      <c r="B314" s="104" t="str">
        <f t="shared" si="1"/>
        <v>Landwer_Landwer 10 writers espresso capsules</v>
      </c>
      <c r="C314" s="105">
        <v>0.075</v>
      </c>
      <c r="D314" s="105">
        <v>0.195</v>
      </c>
      <c r="E314" s="105">
        <v>0.03</v>
      </c>
      <c r="F314" s="106">
        <f>ROUND('Meta data'!$B$1/E314,0)</f>
        <v>10</v>
      </c>
      <c r="G314" s="107"/>
      <c r="H314" s="105" t="s">
        <v>2343</v>
      </c>
      <c r="I314" s="105" t="str">
        <f>IFERROR(__xludf.DUMMYFUNCTION("GOOGLETRANSLATE(H314,""he"",""en"")"),"Landwer")</f>
        <v>Landwer</v>
      </c>
      <c r="J314" s="105" t="s">
        <v>2345</v>
      </c>
      <c r="K314" s="105" t="str">
        <f>IFERROR(__xludf.DUMMYFUNCTION("GOOGLETRANSLATE(J314,""he"",""en"")"),"Landwer 10 writers espresso capsules")</f>
        <v>Landwer 10 writers espresso capsules</v>
      </c>
      <c r="L314" s="104" t="s">
        <v>2349</v>
      </c>
      <c r="M314" s="105" t="s">
        <v>6398</v>
      </c>
      <c r="N314" s="108" t="s">
        <v>6399</v>
      </c>
      <c r="O314" s="109"/>
      <c r="P314" s="109"/>
      <c r="Q314" s="115" t="s">
        <v>2348</v>
      </c>
      <c r="R314" s="111"/>
      <c r="S314" s="11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13"/>
      <c r="AD314" s="113"/>
      <c r="AE314" s="113"/>
    </row>
    <row r="315">
      <c r="A315" s="114">
        <v>7.290014066373E12</v>
      </c>
      <c r="B315" s="104" t="str">
        <f t="shared" si="1"/>
        <v>Landwer_Landwer Espresso Classic 09 Capsules</v>
      </c>
      <c r="C315" s="105">
        <v>0.075</v>
      </c>
      <c r="D315" s="105">
        <v>0.195</v>
      </c>
      <c r="E315" s="105">
        <v>0.03</v>
      </c>
      <c r="F315" s="106">
        <f>ROUND('Meta data'!$B$1/E315,0)</f>
        <v>10</v>
      </c>
      <c r="G315" s="107"/>
      <c r="H315" s="105" t="s">
        <v>2343</v>
      </c>
      <c r="I315" s="105" t="str">
        <f>IFERROR(__xludf.DUMMYFUNCTION("GOOGLETRANSLATE(H315,""he"",""en"")"),"Landwer")</f>
        <v>Landwer</v>
      </c>
      <c r="J315" s="105" t="s">
        <v>2353</v>
      </c>
      <c r="K315" s="105" t="str">
        <f>IFERROR(__xludf.DUMMYFUNCTION("GOOGLETRANSLATE(J315,""he"",""en"")"),"Landwer Espresso Classic 09 Capsules")</f>
        <v>Landwer Espresso Classic 09 Capsules</v>
      </c>
      <c r="L315" s="104" t="s">
        <v>2357</v>
      </c>
      <c r="M315" s="105" t="s">
        <v>6398</v>
      </c>
      <c r="N315" s="108" t="s">
        <v>6399</v>
      </c>
      <c r="O315" s="109"/>
      <c r="P315" s="109"/>
      <c r="Q315" s="111" t="s">
        <v>2356</v>
      </c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13"/>
      <c r="AD315" s="113"/>
      <c r="AE315" s="113"/>
    </row>
    <row r="316">
      <c r="A316" s="114">
        <v>2.8400055109E10</v>
      </c>
      <c r="B316" s="104" t="str">
        <f t="shared" si="1"/>
        <v>Liège_Liège Tube smoked barbecue 155.9 g</v>
      </c>
      <c r="C316" s="105">
        <v>0.09</v>
      </c>
      <c r="D316" s="105">
        <v>0.23</v>
      </c>
      <c r="E316" s="105">
        <v>0.08</v>
      </c>
      <c r="F316" s="106">
        <f>ROUND('Meta data'!$B$1/E316,0)</f>
        <v>4</v>
      </c>
      <c r="G316" s="107"/>
      <c r="H316" s="105" t="s">
        <v>6472</v>
      </c>
      <c r="I316" s="105" t="str">
        <f>IFERROR(__xludf.DUMMYFUNCTION("GOOGLETRANSLATE(H316,""he"",""en"")"),"Liège")</f>
        <v>Liège</v>
      </c>
      <c r="J316" s="105" t="s">
        <v>4493</v>
      </c>
      <c r="K316" s="105" t="str">
        <f>IFERROR(__xludf.DUMMYFUNCTION("GOOGLETRANSLATE(J316,""he"",""en"")"),"Liège Tube smoked barbecue 155.9 g")</f>
        <v>Liège Tube smoked barbecue 155.9 g</v>
      </c>
      <c r="L316" s="104" t="s">
        <v>4495</v>
      </c>
      <c r="M316" s="105" t="s">
        <v>6309</v>
      </c>
      <c r="N316" s="108" t="s">
        <v>6473</v>
      </c>
      <c r="O316" s="109"/>
      <c r="P316" s="109"/>
      <c r="Q316" s="115" t="s">
        <v>4496</v>
      </c>
      <c r="R316" s="116"/>
      <c r="S316" s="117"/>
      <c r="T316" s="118"/>
      <c r="U316" s="117"/>
      <c r="V316" s="102"/>
      <c r="W316" s="102"/>
      <c r="X316" s="102"/>
      <c r="Y316" s="102"/>
      <c r="Z316" s="102"/>
      <c r="AA316" s="102"/>
      <c r="AB316" s="102"/>
      <c r="AC316" s="113"/>
      <c r="AD316" s="113"/>
      <c r="AE316" s="113"/>
    </row>
    <row r="317">
      <c r="A317" s="114">
        <v>2.8400055093E10</v>
      </c>
      <c r="B317" s="104" t="str">
        <f t="shared" si="1"/>
        <v>Liège_Liège Classic 155.9 g Tube</v>
      </c>
      <c r="C317" s="105">
        <v>0.09</v>
      </c>
      <c r="D317" s="105">
        <v>0.23</v>
      </c>
      <c r="E317" s="105">
        <v>0.08</v>
      </c>
      <c r="F317" s="106">
        <f>ROUND('Meta data'!$B$1/E317,0)</f>
        <v>4</v>
      </c>
      <c r="G317" s="107"/>
      <c r="H317" s="105" t="s">
        <v>6472</v>
      </c>
      <c r="I317" s="105" t="str">
        <f>IFERROR(__xludf.DUMMYFUNCTION("GOOGLETRANSLATE(H317,""he"",""en"")"),"Liège")</f>
        <v>Liège</v>
      </c>
      <c r="J317" s="105" t="s">
        <v>4488</v>
      </c>
      <c r="K317" s="105" t="str">
        <f>IFERROR(__xludf.DUMMYFUNCTION("GOOGLETRANSLATE(J317,""he"",""en"")"),"Liège Classic 155.9 g Tube")</f>
        <v>Liège Classic 155.9 g Tube</v>
      </c>
      <c r="L317" s="104" t="s">
        <v>4490</v>
      </c>
      <c r="M317" s="105" t="s">
        <v>6309</v>
      </c>
      <c r="N317" s="108" t="s">
        <v>6473</v>
      </c>
      <c r="O317" s="109"/>
      <c r="P317" s="109"/>
      <c r="Q317" s="115" t="s">
        <v>4491</v>
      </c>
      <c r="R317" s="116"/>
      <c r="S317" s="117"/>
      <c r="T317" s="117"/>
      <c r="U317" s="118"/>
      <c r="V317" s="117"/>
      <c r="W317" s="102"/>
      <c r="X317" s="102"/>
      <c r="Y317" s="102"/>
      <c r="Z317" s="102"/>
      <c r="AA317" s="102"/>
      <c r="AB317" s="102"/>
      <c r="AC317" s="113"/>
      <c r="AD317" s="113"/>
      <c r="AE317" s="113"/>
    </row>
    <row r="318">
      <c r="A318" s="114">
        <v>2.8400055154E10</v>
      </c>
      <c r="B318" s="104" t="str">
        <f t="shared" si="1"/>
        <v>Liège_Liège Tube sour cream and onion 155.9 g</v>
      </c>
      <c r="C318" s="105">
        <v>0.09</v>
      </c>
      <c r="D318" s="105">
        <v>0.23</v>
      </c>
      <c r="E318" s="105">
        <v>0.08</v>
      </c>
      <c r="F318" s="106">
        <f>ROUND('Meta data'!$B$1/E318,0)</f>
        <v>4</v>
      </c>
      <c r="G318" s="107"/>
      <c r="H318" s="105" t="s">
        <v>6472</v>
      </c>
      <c r="I318" s="105" t="str">
        <f>IFERROR(__xludf.DUMMYFUNCTION("GOOGLETRANSLATE(H318,""he"",""en"")"),"Liège")</f>
        <v>Liège</v>
      </c>
      <c r="J318" s="105" t="s">
        <v>4498</v>
      </c>
      <c r="K318" s="105" t="str">
        <f>IFERROR(__xludf.DUMMYFUNCTION("GOOGLETRANSLATE(J318,""he"",""en"")"),"Liège Tube sour cream and onion 155.9 g")</f>
        <v>Liège Tube sour cream and onion 155.9 g</v>
      </c>
      <c r="L318" s="104" t="s">
        <v>4500</v>
      </c>
      <c r="M318" s="105" t="s">
        <v>6309</v>
      </c>
      <c r="N318" s="108" t="s">
        <v>6473</v>
      </c>
      <c r="O318" s="109"/>
      <c r="P318" s="109"/>
      <c r="Q318" s="115" t="s">
        <v>4501</v>
      </c>
      <c r="R318" s="116"/>
      <c r="S318" s="118"/>
      <c r="T318" s="117"/>
      <c r="U318" s="102"/>
      <c r="V318" s="102"/>
      <c r="W318" s="102"/>
      <c r="X318" s="102"/>
      <c r="Y318" s="102"/>
      <c r="Z318" s="102"/>
      <c r="AA318" s="102"/>
      <c r="AB318" s="102"/>
      <c r="AC318" s="113"/>
      <c r="AD318" s="113"/>
      <c r="AE318" s="113"/>
    </row>
    <row r="319">
      <c r="A319" s="114">
        <v>8.000380153442E12</v>
      </c>
      <c r="B319" s="104" t="str">
        <f t="shared" si="1"/>
        <v>Loacker_Loacker nut waffles 90g</v>
      </c>
      <c r="C319" s="105">
        <v>0.195</v>
      </c>
      <c r="D319" s="105">
        <v>0.07</v>
      </c>
      <c r="E319" s="105">
        <v>0.02</v>
      </c>
      <c r="F319" s="106">
        <f>ROUND('Meta data'!$B$1/E319,0)</f>
        <v>15</v>
      </c>
      <c r="G319" s="107"/>
      <c r="H319" s="105" t="s">
        <v>2359</v>
      </c>
      <c r="I319" s="105" t="str">
        <f>IFERROR(__xludf.DUMMYFUNCTION("GOOGLETRANSLATE(H319,""he"",""en"")"),"Loacker")</f>
        <v>Loacker</v>
      </c>
      <c r="J319" s="105" t="s">
        <v>2450</v>
      </c>
      <c r="K319" s="105" t="str">
        <f>IFERROR(__xludf.DUMMYFUNCTION("GOOGLETRANSLATE(J319,""he"",""en"")"),"Loacker nut waffles 90g")</f>
        <v>Loacker nut waffles 90g</v>
      </c>
      <c r="L319" s="104" t="s">
        <v>2454</v>
      </c>
      <c r="M319" s="105" t="s">
        <v>6388</v>
      </c>
      <c r="N319" s="108" t="s">
        <v>6390</v>
      </c>
      <c r="O319" s="109"/>
      <c r="P319" s="109"/>
      <c r="Q319" s="115" t="s">
        <v>2453</v>
      </c>
      <c r="R319" s="116"/>
      <c r="S319" s="117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13"/>
      <c r="AD319" s="113"/>
      <c r="AE319" s="113"/>
    </row>
    <row r="320">
      <c r="A320" s="114">
        <v>8.000380007219E12</v>
      </c>
      <c r="B320" s="104" t="str">
        <f t="shared" si="1"/>
        <v>Loacker_Loacker Classic Walnut</v>
      </c>
      <c r="C320" s="105">
        <v>0.265</v>
      </c>
      <c r="D320" s="105">
        <v>0.09999999</v>
      </c>
      <c r="E320" s="105">
        <v>0.02</v>
      </c>
      <c r="F320" s="106">
        <f>ROUND('Meta data'!$B$1/E320,0)</f>
        <v>15</v>
      </c>
      <c r="G320" s="107"/>
      <c r="H320" s="105" t="s">
        <v>2359</v>
      </c>
      <c r="I320" s="105" t="str">
        <f>IFERROR(__xludf.DUMMYFUNCTION("GOOGLETRANSLATE(H320,""he"",""en"")"),"Loacker")</f>
        <v>Loacker</v>
      </c>
      <c r="J320" s="105" t="s">
        <v>2425</v>
      </c>
      <c r="K320" s="105" t="str">
        <f>IFERROR(__xludf.DUMMYFUNCTION("GOOGLETRANSLATE(J320,""he"",""en"")"),"Loacker Classic Walnut")</f>
        <v>Loacker Classic Walnut</v>
      </c>
      <c r="L320" s="104" t="s">
        <v>2429</v>
      </c>
      <c r="M320" s="105" t="s">
        <v>6388</v>
      </c>
      <c r="N320" s="108" t="s">
        <v>6390</v>
      </c>
      <c r="O320" s="109"/>
      <c r="P320" s="109"/>
      <c r="Q320" s="115" t="s">
        <v>2428</v>
      </c>
      <c r="R320" s="116"/>
      <c r="S320" s="117"/>
      <c r="T320" s="118"/>
      <c r="U320" s="117"/>
      <c r="V320" s="102"/>
      <c r="W320" s="102"/>
      <c r="X320" s="102"/>
      <c r="Y320" s="102"/>
      <c r="Z320" s="102"/>
      <c r="AA320" s="102"/>
      <c r="AB320" s="102"/>
      <c r="AC320" s="113"/>
      <c r="AD320" s="113"/>
      <c r="AE320" s="113"/>
    </row>
    <row r="321">
      <c r="A321" s="114">
        <v>8.000380153466E12</v>
      </c>
      <c r="B321" s="104" t="str">
        <f t="shared" si="1"/>
        <v>Loacker_Classic Loacker Chocolate</v>
      </c>
      <c r="C321" s="105">
        <v>0.195</v>
      </c>
      <c r="D321" s="105">
        <v>0.07</v>
      </c>
      <c r="E321" s="105">
        <v>0.02</v>
      </c>
      <c r="F321" s="106">
        <f>ROUND('Meta data'!$B$1/E321,0)</f>
        <v>15</v>
      </c>
      <c r="G321" s="107"/>
      <c r="H321" s="105" t="s">
        <v>2359</v>
      </c>
      <c r="I321" s="105" t="str">
        <f>IFERROR(__xludf.DUMMYFUNCTION("GOOGLETRANSLATE(H321,""he"",""en"")"),"Loacker")</f>
        <v>Loacker</v>
      </c>
      <c r="J321" s="105" t="s">
        <v>2369</v>
      </c>
      <c r="K321" s="105" t="str">
        <f>IFERROR(__xludf.DUMMYFUNCTION("GOOGLETRANSLATE(J321,""he"",""en"")"),"Classic Loacker Chocolate")</f>
        <v>Classic Loacker Chocolate</v>
      </c>
      <c r="L321" s="104" t="s">
        <v>2373</v>
      </c>
      <c r="M321" s="105" t="s">
        <v>6388</v>
      </c>
      <c r="N321" s="108" t="s">
        <v>6389</v>
      </c>
      <c r="O321" s="109"/>
      <c r="P321" s="109"/>
      <c r="Q321" s="111" t="s">
        <v>2372</v>
      </c>
      <c r="R321" s="111"/>
      <c r="S321" s="112"/>
      <c r="T321" s="118"/>
      <c r="U321" s="112"/>
      <c r="V321" s="102"/>
      <c r="W321" s="102"/>
      <c r="X321" s="102"/>
      <c r="Y321" s="102"/>
      <c r="Z321" s="102"/>
      <c r="AA321" s="102"/>
      <c r="AB321" s="102"/>
      <c r="AC321" s="113"/>
      <c r="AD321" s="113"/>
      <c r="AE321" s="113"/>
    </row>
    <row r="322">
      <c r="A322" s="114">
        <v>8.000380007257E12</v>
      </c>
      <c r="B322" s="104" t="str">
        <f t="shared" si="1"/>
        <v>Loacker_Loacker Gardena nut</v>
      </c>
      <c r="C322" s="105">
        <v>0.26</v>
      </c>
      <c r="D322" s="105">
        <v>0.09999999</v>
      </c>
      <c r="E322" s="105">
        <v>0.02</v>
      </c>
      <c r="F322" s="106">
        <f>ROUND('Meta data'!$B$1/E322,0)</f>
        <v>15</v>
      </c>
      <c r="G322" s="107"/>
      <c r="H322" s="105" t="s">
        <v>2359</v>
      </c>
      <c r="I322" s="105" t="str">
        <f>IFERROR(__xludf.DUMMYFUNCTION("GOOGLETRANSLATE(H322,""he"",""en"")"),"Loacker")</f>
        <v>Loacker</v>
      </c>
      <c r="J322" s="105" t="s">
        <v>2431</v>
      </c>
      <c r="K322" s="105" t="str">
        <f>IFERROR(__xludf.DUMMYFUNCTION("GOOGLETRANSLATE(J322,""he"",""en"")"),"Loacker Gardena nut")</f>
        <v>Loacker Gardena nut</v>
      </c>
      <c r="L322" s="104" t="s">
        <v>2435</v>
      </c>
      <c r="M322" s="105" t="s">
        <v>6388</v>
      </c>
      <c r="N322" s="108" t="s">
        <v>6443</v>
      </c>
      <c r="O322" s="109"/>
      <c r="P322" s="109"/>
      <c r="Q322" s="115" t="s">
        <v>2434</v>
      </c>
      <c r="R322" s="116"/>
      <c r="S322" s="117"/>
      <c r="T322" s="117"/>
      <c r="U322" s="102"/>
      <c r="V322" s="102"/>
      <c r="W322" s="102"/>
      <c r="X322" s="102"/>
      <c r="Y322" s="102"/>
      <c r="Z322" s="102"/>
      <c r="AA322" s="102"/>
      <c r="AB322" s="102"/>
      <c r="AC322" s="113"/>
      <c r="AD322" s="113"/>
      <c r="AE322" s="113"/>
    </row>
    <row r="323">
      <c r="A323" s="114">
        <v>8.000380003723E12</v>
      </c>
      <c r="B323" s="104" t="str">
        <f t="shared" si="1"/>
        <v>Loacker_Loacker Gran Pasticceria nut</v>
      </c>
      <c r="C323" s="105">
        <v>0.245</v>
      </c>
      <c r="D323" s="105">
        <v>0.075</v>
      </c>
      <c r="E323" s="105">
        <v>0.02</v>
      </c>
      <c r="F323" s="106">
        <f>ROUND('Meta data'!$B$1/E323,0)</f>
        <v>15</v>
      </c>
      <c r="G323" s="107"/>
      <c r="H323" s="105" t="s">
        <v>2359</v>
      </c>
      <c r="I323" s="105" t="str">
        <f>IFERROR(__xludf.DUMMYFUNCTION("GOOGLETRANSLATE(H323,""he"",""en"")"),"Loacker")</f>
        <v>Loacker</v>
      </c>
      <c r="J323" s="105" t="s">
        <v>2437</v>
      </c>
      <c r="K323" s="105" t="str">
        <f>IFERROR(__xludf.DUMMYFUNCTION("GOOGLETRANSLATE(J323,""he"",""en"")"),"Loacker Gran Pasticceria nut")</f>
        <v>Loacker Gran Pasticceria nut</v>
      </c>
      <c r="L323" s="104" t="s">
        <v>2441</v>
      </c>
      <c r="M323" s="105" t="s">
        <v>6388</v>
      </c>
      <c r="N323" s="108" t="s">
        <v>6443</v>
      </c>
      <c r="O323" s="109"/>
      <c r="P323" s="109"/>
      <c r="Q323" s="115" t="s">
        <v>2440</v>
      </c>
      <c r="R323" s="116"/>
      <c r="S323" s="117"/>
      <c r="T323" s="117"/>
      <c r="U323" s="117"/>
      <c r="V323" s="102"/>
      <c r="W323" s="102"/>
      <c r="X323" s="102"/>
      <c r="Y323" s="102"/>
      <c r="Z323" s="102"/>
      <c r="AA323" s="102"/>
      <c r="AB323" s="102"/>
      <c r="AC323" s="113"/>
      <c r="AD323" s="113"/>
      <c r="AE323" s="113"/>
    </row>
    <row r="324">
      <c r="A324" s="114">
        <v>8.000380004676E12</v>
      </c>
      <c r="B324" s="104" t="str">
        <f t="shared" si="1"/>
        <v>Loacker_Loacker Sandwich Vanilla</v>
      </c>
      <c r="C324" s="105">
        <v>0.128</v>
      </c>
      <c r="D324" s="105">
        <v>0.22</v>
      </c>
      <c r="E324" s="105">
        <v>0.073</v>
      </c>
      <c r="F324" s="106">
        <f>ROUND('Meta data'!$B$1/E324,0)</f>
        <v>4</v>
      </c>
      <c r="G324" s="107"/>
      <c r="H324" s="105" t="s">
        <v>2359</v>
      </c>
      <c r="I324" s="105" t="str">
        <f>IFERROR(__xludf.DUMMYFUNCTION("GOOGLETRANSLATE(H324,""he"",""en"")"),"Loacker")</f>
        <v>Loacker</v>
      </c>
      <c r="J324" s="105" t="s">
        <v>2456</v>
      </c>
      <c r="K324" s="105" t="str">
        <f>IFERROR(__xludf.DUMMYFUNCTION("GOOGLETRANSLATE(J324,""he"",""en"")"),"Loacker Sandwich Vanilla")</f>
        <v>Loacker Sandwich Vanilla</v>
      </c>
      <c r="L324" s="104" t="s">
        <v>2460</v>
      </c>
      <c r="M324" s="105" t="s">
        <v>6388</v>
      </c>
      <c r="N324" s="108" t="s">
        <v>6474</v>
      </c>
      <c r="O324" s="109"/>
      <c r="P324" s="109"/>
      <c r="Q324" s="111" t="s">
        <v>2459</v>
      </c>
      <c r="R324" s="111"/>
      <c r="S324" s="112"/>
      <c r="T324" s="112"/>
      <c r="U324" s="112"/>
      <c r="V324" s="102"/>
      <c r="W324" s="102"/>
      <c r="X324" s="102"/>
      <c r="Y324" s="102"/>
      <c r="Z324" s="102"/>
      <c r="AA324" s="102"/>
      <c r="AB324" s="102"/>
      <c r="AC324" s="113"/>
      <c r="AD324" s="113"/>
      <c r="AE324" s="113"/>
    </row>
    <row r="325">
      <c r="A325" s="114">
        <v>8.000380180745E12</v>
      </c>
      <c r="B325" s="104" t="str">
        <f t="shared" si="1"/>
        <v>Loacker_Loacker chocolate-milk Koadrtini</v>
      </c>
      <c r="C325" s="105">
        <v>0.13</v>
      </c>
      <c r="D325" s="105">
        <v>0.2</v>
      </c>
      <c r="E325" s="105">
        <v>0.07</v>
      </c>
      <c r="F325" s="106">
        <f>ROUND('Meta data'!$B$1/E325,0)</f>
        <v>4</v>
      </c>
      <c r="G325" s="107"/>
      <c r="H325" s="105" t="s">
        <v>2359</v>
      </c>
      <c r="I325" s="105" t="str">
        <f>IFERROR(__xludf.DUMMYFUNCTION("GOOGLETRANSLATE(H325,""he"",""en"")"),"Loacker")</f>
        <v>Loacker</v>
      </c>
      <c r="J325" s="105" t="s">
        <v>2419</v>
      </c>
      <c r="K325" s="105" t="str">
        <f>IFERROR(__xludf.DUMMYFUNCTION("GOOGLETRANSLATE(J325,""he"",""en"")"),"Loacker chocolate-milk Koadrtini")</f>
        <v>Loacker chocolate-milk Koadrtini</v>
      </c>
      <c r="L325" s="104" t="s">
        <v>2423</v>
      </c>
      <c r="M325" s="105" t="s">
        <v>6388</v>
      </c>
      <c r="N325" s="108" t="s">
        <v>6474</v>
      </c>
      <c r="O325" s="109"/>
      <c r="P325" s="109"/>
      <c r="Q325" s="111" t="s">
        <v>2422</v>
      </c>
      <c r="R325" s="111"/>
      <c r="S325" s="112"/>
      <c r="T325" s="112"/>
      <c r="U325" s="102"/>
      <c r="V325" s="102"/>
      <c r="W325" s="102"/>
      <c r="X325" s="102"/>
      <c r="Y325" s="102"/>
      <c r="Z325" s="102"/>
      <c r="AA325" s="102"/>
      <c r="AB325" s="102"/>
      <c r="AC325" s="113"/>
      <c r="AD325" s="113"/>
      <c r="AE325" s="113"/>
    </row>
    <row r="326">
      <c r="A326" s="114">
        <v>8.000380004966E12</v>
      </c>
      <c r="B326" s="104" t="str">
        <f t="shared" si="1"/>
        <v>Loacker_Loacker chocolate Koardtini</v>
      </c>
      <c r="C326" s="105">
        <v>0.13</v>
      </c>
      <c r="D326" s="105">
        <v>0.2</v>
      </c>
      <c r="E326" s="105">
        <v>0.07</v>
      </c>
      <c r="F326" s="106">
        <f>ROUND('Meta data'!$B$1/E326,0)</f>
        <v>4</v>
      </c>
      <c r="G326" s="107"/>
      <c r="H326" s="105" t="s">
        <v>2359</v>
      </c>
      <c r="I326" s="105" t="str">
        <f>IFERROR(__xludf.DUMMYFUNCTION("GOOGLETRANSLATE(H326,""he"",""en"")"),"Loacker")</f>
        <v>Loacker</v>
      </c>
      <c r="J326" s="105" t="s">
        <v>2413</v>
      </c>
      <c r="K326" s="105" t="str">
        <f>IFERROR(__xludf.DUMMYFUNCTION("GOOGLETRANSLATE(J326,""he"",""en"")"),"Loacker chocolate Koardtini")</f>
        <v>Loacker chocolate Koardtini</v>
      </c>
      <c r="L326" s="104" t="s">
        <v>2417</v>
      </c>
      <c r="M326" s="105" t="s">
        <v>6388</v>
      </c>
      <c r="N326" s="108" t="s">
        <v>6474</v>
      </c>
      <c r="O326" s="109"/>
      <c r="P326" s="109"/>
      <c r="Q326" s="111" t="s">
        <v>2416</v>
      </c>
      <c r="R326" s="111"/>
      <c r="S326" s="11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13"/>
      <c r="AD326" s="113"/>
      <c r="AE326" s="113"/>
    </row>
    <row r="327">
      <c r="A327" s="114">
        <v>8.000380004911E12</v>
      </c>
      <c r="B327" s="104" t="str">
        <f t="shared" si="1"/>
        <v>Loacker_Koadrtini nut</v>
      </c>
      <c r="C327" s="105">
        <v>0.13</v>
      </c>
      <c r="D327" s="105">
        <v>0.2</v>
      </c>
      <c r="E327" s="105">
        <v>0.07</v>
      </c>
      <c r="F327" s="106">
        <f>ROUND('Meta data'!$B$1/E327,0)</f>
        <v>4</v>
      </c>
      <c r="G327" s="107"/>
      <c r="H327" s="105" t="s">
        <v>2359</v>
      </c>
      <c r="I327" s="105" t="str">
        <f>IFERROR(__xludf.DUMMYFUNCTION("GOOGLETRANSLATE(H327,""he"",""en"")"),"Loacker")</f>
        <v>Loacker</v>
      </c>
      <c r="J327" s="105" t="s">
        <v>2406</v>
      </c>
      <c r="K327" s="105" t="str">
        <f>IFERROR(__xludf.DUMMYFUNCTION("GOOGLETRANSLATE(J327,""he"",""en"")"),"Koadrtini nut")</f>
        <v>Koadrtini nut</v>
      </c>
      <c r="L327" s="104" t="s">
        <v>2411</v>
      </c>
      <c r="M327" s="105" t="s">
        <v>6388</v>
      </c>
      <c r="N327" s="108" t="s">
        <v>6474</v>
      </c>
      <c r="O327" s="109"/>
      <c r="P327" s="109"/>
      <c r="Q327" s="115" t="s">
        <v>2410</v>
      </c>
      <c r="R327" s="116"/>
      <c r="S327" s="117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13"/>
      <c r="AD327" s="113"/>
      <c r="AE327" s="113"/>
    </row>
    <row r="328">
      <c r="A328" s="114">
        <v>8.0001485E7</v>
      </c>
      <c r="B328" s="104" t="str">
        <f t="shared" si="1"/>
        <v>Loacker_Coconut Loacker Gardena</v>
      </c>
      <c r="C328" s="105">
        <v>0.09999999</v>
      </c>
      <c r="D328" s="105">
        <v>0.045</v>
      </c>
      <c r="E328" s="105">
        <v>0.02</v>
      </c>
      <c r="F328" s="106">
        <f>ROUND('Meta data'!$B$1/E328,0)</f>
        <v>15</v>
      </c>
      <c r="G328" s="107"/>
      <c r="H328" s="105" t="s">
        <v>2359</v>
      </c>
      <c r="I328" s="105" t="str">
        <f>IFERROR(__xludf.DUMMYFUNCTION("GOOGLETRANSLATE(H328,""he"",""en"")"),"Loacker")</f>
        <v>Loacker</v>
      </c>
      <c r="J328" s="105" t="s">
        <v>2375</v>
      </c>
      <c r="K328" s="105" t="str">
        <f>IFERROR(__xludf.DUMMYFUNCTION("GOOGLETRANSLATE(J328,""he"",""en"")"),"Coconut Loacker Gardena")</f>
        <v>Coconut Loacker Gardena</v>
      </c>
      <c r="L328" s="104" t="s">
        <v>2379</v>
      </c>
      <c r="M328" s="105" t="s">
        <v>6302</v>
      </c>
      <c r="N328" s="108" t="s">
        <v>6303</v>
      </c>
      <c r="O328" s="109"/>
      <c r="P328" s="109"/>
      <c r="Q328" s="111" t="s">
        <v>2378</v>
      </c>
      <c r="R328" s="111"/>
      <c r="S328" s="118"/>
      <c r="T328" s="112"/>
      <c r="U328" s="102"/>
      <c r="V328" s="102"/>
      <c r="W328" s="102"/>
      <c r="X328" s="102"/>
      <c r="Y328" s="102"/>
      <c r="Z328" s="102"/>
      <c r="AA328" s="102"/>
      <c r="AB328" s="102"/>
      <c r="AC328" s="113"/>
      <c r="AD328" s="113"/>
      <c r="AE328" s="113"/>
    </row>
    <row r="329">
      <c r="A329" s="114">
        <v>8.0001461E7</v>
      </c>
      <c r="B329" s="104" t="str">
        <f t="shared" si="1"/>
        <v>Loacker_Gardena Loacker chocolate</v>
      </c>
      <c r="C329" s="105">
        <v>0.09999999</v>
      </c>
      <c r="D329" s="105">
        <v>0.045</v>
      </c>
      <c r="E329" s="105">
        <v>0.02</v>
      </c>
      <c r="F329" s="106">
        <f>ROUND('Meta data'!$B$1/E329,0)</f>
        <v>15</v>
      </c>
      <c r="G329" s="107"/>
      <c r="H329" s="105" t="s">
        <v>2359</v>
      </c>
      <c r="I329" s="105" t="str">
        <f>IFERROR(__xludf.DUMMYFUNCTION("GOOGLETRANSLATE(H329,""he"",""en"")"),"Loacker")</f>
        <v>Loacker</v>
      </c>
      <c r="J329" s="105" t="s">
        <v>2388</v>
      </c>
      <c r="K329" s="105" t="str">
        <f>IFERROR(__xludf.DUMMYFUNCTION("GOOGLETRANSLATE(J329,""he"",""en"")"),"Gardena Loacker chocolate")</f>
        <v>Gardena Loacker chocolate</v>
      </c>
      <c r="L329" s="104" t="s">
        <v>2392</v>
      </c>
      <c r="M329" s="105" t="s">
        <v>6302</v>
      </c>
      <c r="N329" s="108" t="s">
        <v>6303</v>
      </c>
      <c r="O329" s="109"/>
      <c r="P329" s="109"/>
      <c r="Q329" s="111" t="s">
        <v>2391</v>
      </c>
      <c r="R329" s="115"/>
      <c r="S329" s="11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13"/>
      <c r="AD329" s="113"/>
      <c r="AE329" s="113"/>
    </row>
    <row r="330">
      <c r="A330" s="114">
        <v>8.0001027E7</v>
      </c>
      <c r="B330" s="104" t="str">
        <f t="shared" si="1"/>
        <v>Loacker_Loacker milk chocolate tortilla</v>
      </c>
      <c r="C330" s="105">
        <v>0.095</v>
      </c>
      <c r="D330" s="105">
        <v>0.065</v>
      </c>
      <c r="E330" s="105">
        <v>0.02</v>
      </c>
      <c r="F330" s="106">
        <f>ROUND('Meta data'!$B$1/E330,0)</f>
        <v>15</v>
      </c>
      <c r="G330" s="107"/>
      <c r="H330" s="105" t="s">
        <v>2359</v>
      </c>
      <c r="I330" s="105" t="str">
        <f>IFERROR(__xludf.DUMMYFUNCTION("GOOGLETRANSLATE(H330,""he"",""en"")"),"Loacker")</f>
        <v>Loacker</v>
      </c>
      <c r="J330" s="105" t="s">
        <v>2443</v>
      </c>
      <c r="K330" s="105" t="str">
        <f>IFERROR(__xludf.DUMMYFUNCTION("GOOGLETRANSLATE(J330,""he"",""en"")"),"Loacker milk chocolate tortilla")</f>
        <v>Loacker milk chocolate tortilla</v>
      </c>
      <c r="L330" s="104" t="s">
        <v>2447</v>
      </c>
      <c r="M330" s="105" t="s">
        <v>6302</v>
      </c>
      <c r="N330" s="108" t="s">
        <v>6303</v>
      </c>
      <c r="O330" s="109"/>
      <c r="P330" s="109"/>
      <c r="Q330" s="111" t="s">
        <v>2446</v>
      </c>
      <c r="R330" s="115"/>
      <c r="S330" s="11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13"/>
      <c r="AD330" s="113"/>
      <c r="AE330" s="113"/>
    </row>
    <row r="331">
      <c r="A331" s="114">
        <v>8.000380187119E12</v>
      </c>
      <c r="B331" s="104" t="str">
        <f t="shared" si="1"/>
        <v>Loacker_Hazelnut Cookies Loacker</v>
      </c>
      <c r="C331" s="105">
        <v>0.21</v>
      </c>
      <c r="D331" s="105">
        <v>0.09999999</v>
      </c>
      <c r="E331" s="105">
        <v>0.03</v>
      </c>
      <c r="F331" s="106">
        <f>ROUND('Meta data'!$B$1/E331,0)</f>
        <v>10</v>
      </c>
      <c r="G331" s="107"/>
      <c r="H331" s="105" t="s">
        <v>2359</v>
      </c>
      <c r="I331" s="105" t="str">
        <f>IFERROR(__xludf.DUMMYFUNCTION("GOOGLETRANSLATE(H331,""he"",""en"")"),"Loacker")</f>
        <v>Loacker</v>
      </c>
      <c r="J331" s="105" t="s">
        <v>2400</v>
      </c>
      <c r="K331" s="105" t="str">
        <f>IFERROR(__xludf.DUMMYFUNCTION("GOOGLETRANSLATE(J331,""he"",""en"")"),"Hazelnut Cookies Loacker")</f>
        <v>Hazelnut Cookies Loacker</v>
      </c>
      <c r="L331" s="104" t="s">
        <v>2404</v>
      </c>
      <c r="M331" s="105" t="s">
        <v>6304</v>
      </c>
      <c r="N331" s="108" t="s">
        <v>6305</v>
      </c>
      <c r="O331" s="109"/>
      <c r="P331" s="109"/>
      <c r="Q331" s="115" t="s">
        <v>2403</v>
      </c>
      <c r="R331" s="116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13"/>
      <c r="AD331" s="113"/>
      <c r="AE331" s="113"/>
    </row>
    <row r="332">
      <c r="A332" s="114">
        <v>8.0003801873E12</v>
      </c>
      <c r="B332" s="104" t="str">
        <f t="shared" si="1"/>
        <v>Loacker_Cookies Loacker snowflakes</v>
      </c>
      <c r="C332" s="105">
        <v>0.245</v>
      </c>
      <c r="D332" s="105">
        <v>0.072</v>
      </c>
      <c r="E332" s="105">
        <v>0.035</v>
      </c>
      <c r="F332" s="106">
        <f>ROUND('Meta data'!$B$1/E332,0)</f>
        <v>9</v>
      </c>
      <c r="G332" s="107"/>
      <c r="H332" s="105" t="s">
        <v>2359</v>
      </c>
      <c r="I332" s="105" t="str">
        <f>IFERROR(__xludf.DUMMYFUNCTION("GOOGLETRANSLATE(H332,""he"",""en"")"),"Loacker")</f>
        <v>Loacker</v>
      </c>
      <c r="J332" s="105" t="s">
        <v>2382</v>
      </c>
      <c r="K332" s="105" t="str">
        <f>IFERROR(__xludf.DUMMYFUNCTION("GOOGLETRANSLATE(J332,""he"",""en"")"),"Cookies Loacker snowflakes")</f>
        <v>Cookies Loacker snowflakes</v>
      </c>
      <c r="L332" s="104" t="s">
        <v>2386</v>
      </c>
      <c r="M332" s="105" t="s">
        <v>6304</v>
      </c>
      <c r="N332" s="108" t="s">
        <v>6305</v>
      </c>
      <c r="O332" s="109"/>
      <c r="P332" s="109"/>
      <c r="Q332" s="111" t="s">
        <v>2385</v>
      </c>
      <c r="R332" s="111"/>
      <c r="S332" s="112"/>
      <c r="T332" s="118"/>
      <c r="U332" s="112"/>
      <c r="V332" s="102"/>
      <c r="W332" s="102"/>
      <c r="X332" s="102"/>
      <c r="Y332" s="102"/>
      <c r="Z332" s="102"/>
      <c r="AA332" s="102"/>
      <c r="AB332" s="102"/>
      <c r="AC332" s="113"/>
      <c r="AD332" s="113"/>
      <c r="AE332" s="113"/>
    </row>
    <row r="333">
      <c r="A333" s="114">
        <v>8.000380187249E12</v>
      </c>
      <c r="B333" s="104" t="str">
        <f t="shared" si="1"/>
        <v>Loacker_Almond Cookies Loacker</v>
      </c>
      <c r="C333" s="105">
        <v>0.21</v>
      </c>
      <c r="D333" s="105">
        <v>0.09999999</v>
      </c>
      <c r="E333" s="105">
        <v>0.03</v>
      </c>
      <c r="F333" s="106">
        <f>ROUND('Meta data'!$B$1/E333,0)</f>
        <v>10</v>
      </c>
      <c r="G333" s="107"/>
      <c r="H333" s="105" t="s">
        <v>2359</v>
      </c>
      <c r="I333" s="105" t="str">
        <f>IFERROR(__xludf.DUMMYFUNCTION("GOOGLETRANSLATE(H333,""he"",""en"")"),"Loacker")</f>
        <v>Loacker</v>
      </c>
      <c r="J333" s="105" t="s">
        <v>2361</v>
      </c>
      <c r="K333" s="105" t="str">
        <f>IFERROR(__xludf.DUMMYFUNCTION("GOOGLETRANSLATE(J333,""he"",""en"")"),"Almond Cookies Loacker")</f>
        <v>Almond Cookies Loacker</v>
      </c>
      <c r="L333" s="104" t="s">
        <v>2367</v>
      </c>
      <c r="M333" s="105" t="s">
        <v>6304</v>
      </c>
      <c r="N333" s="108" t="s">
        <v>6305</v>
      </c>
      <c r="O333" s="109"/>
      <c r="P333" s="109"/>
      <c r="Q333" s="115" t="s">
        <v>2366</v>
      </c>
      <c r="R333" s="116"/>
      <c r="S333" s="118"/>
      <c r="T333" s="117"/>
      <c r="U333" s="102"/>
      <c r="V333" s="102"/>
      <c r="W333" s="102"/>
      <c r="X333" s="102"/>
      <c r="Y333" s="102"/>
      <c r="Z333" s="102"/>
      <c r="AA333" s="102"/>
      <c r="AB333" s="102"/>
      <c r="AC333" s="113"/>
      <c r="AD333" s="113"/>
      <c r="AE333" s="113"/>
    </row>
    <row r="334">
      <c r="A334" s="114">
        <v>5.410126006339E12</v>
      </c>
      <c r="B334" s="104" t="str">
        <f t="shared" si="1"/>
        <v>lotus_Lotus biscuits packed in pairs 124 g</v>
      </c>
      <c r="C334" s="105">
        <v>0.15</v>
      </c>
      <c r="D334" s="105">
        <v>0.08</v>
      </c>
      <c r="E334" s="105">
        <v>0.03</v>
      </c>
      <c r="F334" s="106">
        <f>ROUND('Meta data'!$B$1/E334,0)</f>
        <v>10</v>
      </c>
      <c r="G334" s="107"/>
      <c r="H334" s="105" t="s">
        <v>2462</v>
      </c>
      <c r="I334" s="105" t="str">
        <f>IFERROR(__xludf.DUMMYFUNCTION("GOOGLETRANSLATE(H334,""he"",""en"")"),"lotus")</f>
        <v>lotus</v>
      </c>
      <c r="J334" s="105" t="s">
        <v>2464</v>
      </c>
      <c r="K334" s="105" t="str">
        <f>IFERROR(__xludf.DUMMYFUNCTION("GOOGLETRANSLATE(J334,""he"",""en"")"),"Lotus biscuits packed in pairs 124 g")</f>
        <v>Lotus biscuits packed in pairs 124 g</v>
      </c>
      <c r="L334" s="104" t="s">
        <v>2469</v>
      </c>
      <c r="M334" s="105" t="s">
        <v>6304</v>
      </c>
      <c r="N334" s="108" t="s">
        <v>6475</v>
      </c>
      <c r="O334" s="109"/>
      <c r="P334" s="109"/>
      <c r="Q334" s="111" t="s">
        <v>2468</v>
      </c>
      <c r="R334" s="116"/>
      <c r="S334" s="118"/>
      <c r="T334" s="117"/>
      <c r="U334" s="102"/>
      <c r="V334" s="102"/>
      <c r="W334" s="102"/>
      <c r="X334" s="102"/>
      <c r="Y334" s="102"/>
      <c r="Z334" s="102"/>
      <c r="AA334" s="102"/>
      <c r="AB334" s="102"/>
      <c r="AC334" s="113"/>
      <c r="AD334" s="113"/>
      <c r="AE334" s="113"/>
    </row>
    <row r="335">
      <c r="A335" s="114">
        <v>7.290008464208E12</v>
      </c>
      <c r="B335" s="104" t="str">
        <f t="shared" si="1"/>
        <v>Maccabi_Maccabi Beer 330 m 7.9%</v>
      </c>
      <c r="C335" s="105">
        <v>0.055</v>
      </c>
      <c r="D335" s="105">
        <v>0.239</v>
      </c>
      <c r="E335" s="105">
        <v>0.055</v>
      </c>
      <c r="F335" s="106">
        <f>ROUND('Meta data'!$B$1/E335,0)</f>
        <v>5</v>
      </c>
      <c r="G335" s="107"/>
      <c r="H335" s="105" t="s">
        <v>2472</v>
      </c>
      <c r="I335" s="105" t="str">
        <f>IFERROR(__xludf.DUMMYFUNCTION("GOOGLETRANSLATE(H335,""he"",""en"")"),"Maccabi")</f>
        <v>Maccabi</v>
      </c>
      <c r="J335" s="105" t="s">
        <v>2474</v>
      </c>
      <c r="K335" s="105" t="str">
        <f>IFERROR(__xludf.DUMMYFUNCTION("GOOGLETRANSLATE(J335,""he"",""en"")"),"Maccabi Beer 330 m 7.9%")</f>
        <v>Maccabi Beer 330 m 7.9%</v>
      </c>
      <c r="L335" s="104" t="s">
        <v>2478</v>
      </c>
      <c r="M335" s="105" t="s">
        <v>6332</v>
      </c>
      <c r="N335" s="108" t="s">
        <v>6338</v>
      </c>
      <c r="O335" s="109"/>
      <c r="P335" s="109"/>
      <c r="Q335" s="115" t="s">
        <v>2477</v>
      </c>
      <c r="R335" s="115"/>
      <c r="S335" s="117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13"/>
      <c r="AD335" s="113"/>
      <c r="AE335" s="113"/>
    </row>
    <row r="336">
      <c r="A336" s="114">
        <v>7.290008464338E12</v>
      </c>
      <c r="B336" s="104" t="str">
        <f t="shared" si="1"/>
        <v>Maccabi_Maccabi beer bottle, 330 ml</v>
      </c>
      <c r="C336" s="105">
        <v>0.058</v>
      </c>
      <c r="D336" s="105">
        <v>0.222</v>
      </c>
      <c r="E336" s="105">
        <v>0.058</v>
      </c>
      <c r="F336" s="106">
        <f>ROUND('Meta data'!$B$1/E336,0)</f>
        <v>5</v>
      </c>
      <c r="G336" s="107"/>
      <c r="H336" s="105" t="s">
        <v>2472</v>
      </c>
      <c r="I336" s="105" t="str">
        <f>IFERROR(__xludf.DUMMYFUNCTION("GOOGLETRANSLATE(H336,""he"",""en"")"),"Maccabi")</f>
        <v>Maccabi</v>
      </c>
      <c r="J336" s="105" t="s">
        <v>2486</v>
      </c>
      <c r="K336" s="105" t="str">
        <f>IFERROR(__xludf.DUMMYFUNCTION("GOOGLETRANSLATE(J336,""he"",""en"")"),"Maccabi beer bottle, 330 ml")</f>
        <v>Maccabi beer bottle, 330 ml</v>
      </c>
      <c r="L336" s="104" t="s">
        <v>2490</v>
      </c>
      <c r="M336" s="105" t="s">
        <v>6332</v>
      </c>
      <c r="N336" s="108" t="s">
        <v>6338</v>
      </c>
      <c r="O336" s="109"/>
      <c r="P336" s="109"/>
      <c r="Q336" s="115" t="s">
        <v>2489</v>
      </c>
      <c r="R336" s="115"/>
      <c r="S336" s="117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13"/>
      <c r="AD336" s="113"/>
      <c r="AE336" s="113"/>
    </row>
    <row r="337">
      <c r="A337" s="114">
        <v>7.290008464222E12</v>
      </c>
      <c r="B337" s="104" t="str">
        <f t="shared" si="1"/>
        <v>Maccabi_Maccabi Beer 7.9% tin, 500 ml</v>
      </c>
      <c r="C337" s="105">
        <v>0.065</v>
      </c>
      <c r="D337" s="105">
        <v>0.17</v>
      </c>
      <c r="E337" s="105">
        <v>0.065</v>
      </c>
      <c r="F337" s="106">
        <f>ROUND('Meta data'!$B$1/E337,0)</f>
        <v>5</v>
      </c>
      <c r="G337" s="107"/>
      <c r="H337" s="105" t="s">
        <v>2472</v>
      </c>
      <c r="I337" s="105" t="str">
        <f>IFERROR(__xludf.DUMMYFUNCTION("GOOGLETRANSLATE(H337,""he"",""en"")"),"Maccabi")</f>
        <v>Maccabi</v>
      </c>
      <c r="J337" s="105" t="s">
        <v>2480</v>
      </c>
      <c r="K337" s="105" t="str">
        <f>IFERROR(__xludf.DUMMYFUNCTION("GOOGLETRANSLATE(J337,""he"",""en"")"),"Maccabi Beer 7.9% tin, 500 ml")</f>
        <v>Maccabi Beer 7.9% tin, 500 ml</v>
      </c>
      <c r="L337" s="104" t="s">
        <v>2484</v>
      </c>
      <c r="M337" s="105" t="s">
        <v>6332</v>
      </c>
      <c r="N337" s="108" t="s">
        <v>6476</v>
      </c>
      <c r="O337" s="109"/>
      <c r="P337" s="109"/>
      <c r="Q337" s="115" t="s">
        <v>2483</v>
      </c>
      <c r="R337" s="116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13"/>
      <c r="AD337" s="113"/>
      <c r="AE337" s="113"/>
    </row>
    <row r="338">
      <c r="A338" s="114">
        <v>7.290008464475E12</v>
      </c>
      <c r="B338" s="104" t="str">
        <f t="shared" si="1"/>
        <v>Maccabi_Maccabi can of beer, 500 ml</v>
      </c>
      <c r="C338" s="105">
        <v>0.065</v>
      </c>
      <c r="D338" s="105">
        <v>0.17</v>
      </c>
      <c r="E338" s="105">
        <v>0.065</v>
      </c>
      <c r="F338" s="106">
        <f>ROUND('Meta data'!$B$1/E338,0)</f>
        <v>5</v>
      </c>
      <c r="G338" s="107"/>
      <c r="H338" s="105" t="s">
        <v>2472</v>
      </c>
      <c r="I338" s="105" t="str">
        <f>IFERROR(__xludf.DUMMYFUNCTION("GOOGLETRANSLATE(H338,""he"",""en"")"),"Maccabi")</f>
        <v>Maccabi</v>
      </c>
      <c r="J338" s="105" t="s">
        <v>2492</v>
      </c>
      <c r="K338" s="105" t="str">
        <f>IFERROR(__xludf.DUMMYFUNCTION("GOOGLETRANSLATE(J338,""he"",""en"")"),"Maccabi can of beer, 500 ml")</f>
        <v>Maccabi can of beer, 500 ml</v>
      </c>
      <c r="L338" s="104" t="s">
        <v>2496</v>
      </c>
      <c r="M338" s="105" t="s">
        <v>6332</v>
      </c>
      <c r="N338" s="108" t="s">
        <v>6476</v>
      </c>
      <c r="O338" s="109"/>
      <c r="P338" s="109"/>
      <c r="Q338" s="115" t="s">
        <v>2495</v>
      </c>
      <c r="R338" s="116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13"/>
      <c r="AD338" s="113"/>
      <c r="AE338" s="113"/>
    </row>
    <row r="339">
      <c r="A339" s="114">
        <v>7.290012921032E12</v>
      </c>
      <c r="B339" s="104" t="str">
        <f t="shared" si="1"/>
        <v>Malka_Peony Malka beer 5.5% alcohol 330 ml</v>
      </c>
      <c r="C339" s="105">
        <v>0.06</v>
      </c>
      <c r="D339" s="105">
        <v>0.228</v>
      </c>
      <c r="E339" s="105">
        <v>0.06</v>
      </c>
      <c r="F339" s="106">
        <f>ROUND('Meta data'!$B$1/E339,0)</f>
        <v>5</v>
      </c>
      <c r="G339" s="107"/>
      <c r="H339" s="105" t="s">
        <v>2498</v>
      </c>
      <c r="I339" s="119" t="s">
        <v>2499</v>
      </c>
      <c r="J339" s="105" t="s">
        <v>2506</v>
      </c>
      <c r="K339" s="119" t="s">
        <v>6477</v>
      </c>
      <c r="L339" s="104" t="s">
        <v>2510</v>
      </c>
      <c r="M339" s="105" t="s">
        <v>6332</v>
      </c>
      <c r="N339" s="108" t="s">
        <v>6338</v>
      </c>
      <c r="O339" s="109"/>
      <c r="P339" s="109"/>
      <c r="Q339" s="115" t="s">
        <v>2509</v>
      </c>
      <c r="R339" s="116"/>
      <c r="S339" s="117"/>
      <c r="T339" s="118"/>
      <c r="U339" s="117"/>
      <c r="V339" s="102"/>
      <c r="W339" s="102"/>
      <c r="X339" s="102"/>
      <c r="Y339" s="102"/>
      <c r="Z339" s="102"/>
      <c r="AA339" s="102"/>
      <c r="AB339" s="102"/>
      <c r="AC339" s="113"/>
      <c r="AD339" s="113"/>
      <c r="AE339" s="113"/>
    </row>
    <row r="340">
      <c r="A340" s="114">
        <v>7.290012921025E12</v>
      </c>
      <c r="B340" s="104" t="str">
        <f t="shared" si="1"/>
        <v>Malka_Light Beer Malka 6.5% alcohol 330 ml</v>
      </c>
      <c r="C340" s="105">
        <v>0.06</v>
      </c>
      <c r="D340" s="105">
        <v>0.228</v>
      </c>
      <c r="E340" s="105">
        <v>0.06</v>
      </c>
      <c r="F340" s="106">
        <f>ROUND('Meta data'!$B$1/E340,0)</f>
        <v>5</v>
      </c>
      <c r="G340" s="107"/>
      <c r="H340" s="105" t="s">
        <v>2498</v>
      </c>
      <c r="I340" s="119" t="s">
        <v>2499</v>
      </c>
      <c r="J340" s="105" t="s">
        <v>2500</v>
      </c>
      <c r="K340" s="119" t="s">
        <v>6478</v>
      </c>
      <c r="L340" s="104" t="s">
        <v>2504</v>
      </c>
      <c r="M340" s="105" t="s">
        <v>6332</v>
      </c>
      <c r="N340" s="108" t="s">
        <v>6338</v>
      </c>
      <c r="O340" s="109"/>
      <c r="P340" s="109"/>
      <c r="Q340" s="115" t="s">
        <v>2503</v>
      </c>
      <c r="R340" s="116"/>
      <c r="S340" s="117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13"/>
      <c r="AD340" s="113"/>
      <c r="AE340" s="113"/>
    </row>
    <row r="341">
      <c r="A341" s="114">
        <v>5.000159407236E12</v>
      </c>
      <c r="B341" s="104" t="str">
        <f t="shared" si="1"/>
        <v>Mars_Snack Mars 51 grams</v>
      </c>
      <c r="C341" s="105">
        <v>0.11</v>
      </c>
      <c r="D341" s="105">
        <v>0.032</v>
      </c>
      <c r="E341" s="105">
        <v>0.02</v>
      </c>
      <c r="F341" s="106">
        <f>ROUND('Meta data'!$B$1/E341,0)</f>
        <v>15</v>
      </c>
      <c r="G341" s="107"/>
      <c r="H341" s="105" t="s">
        <v>2554</v>
      </c>
      <c r="I341" s="119" t="s">
        <v>2555</v>
      </c>
      <c r="J341" s="105" t="s">
        <v>2556</v>
      </c>
      <c r="K341" s="119" t="s">
        <v>6479</v>
      </c>
      <c r="L341" s="104" t="s">
        <v>2560</v>
      </c>
      <c r="M341" s="105" t="s">
        <v>6302</v>
      </c>
      <c r="N341" s="108" t="s">
        <v>6303</v>
      </c>
      <c r="O341" s="109"/>
      <c r="P341" s="109"/>
      <c r="Q341" s="111" t="s">
        <v>2559</v>
      </c>
      <c r="R341" s="111"/>
      <c r="S341" s="118"/>
      <c r="T341" s="112"/>
      <c r="U341" s="102"/>
      <c r="V341" s="102"/>
      <c r="W341" s="102"/>
      <c r="X341" s="102"/>
      <c r="Y341" s="102"/>
      <c r="Z341" s="102"/>
      <c r="AA341" s="102"/>
      <c r="AB341" s="102"/>
      <c r="AC341" s="113"/>
      <c r="AD341" s="113"/>
      <c r="AE341" s="113"/>
    </row>
    <row r="342">
      <c r="A342" s="114">
        <v>4.710068001715E12</v>
      </c>
      <c r="B342" s="104" t="str">
        <f t="shared" si="1"/>
        <v>Master_Master tiramisu iced coffee beverage can 240 ml</v>
      </c>
      <c r="C342" s="105">
        <v>0.065</v>
      </c>
      <c r="D342" s="105">
        <v>0.095</v>
      </c>
      <c r="E342" s="105">
        <v>0.065</v>
      </c>
      <c r="F342" s="106">
        <f>ROUND('Meta data'!$B$1/E342,0)</f>
        <v>5</v>
      </c>
      <c r="G342" s="107"/>
      <c r="H342" s="105" t="s">
        <v>2562</v>
      </c>
      <c r="I342" s="105" t="str">
        <f>IFERROR(__xludf.DUMMYFUNCTION("GOOGLETRANSLATE(H342,""he"",""en"")"),"Master")</f>
        <v>Master</v>
      </c>
      <c r="J342" s="105" t="s">
        <v>2583</v>
      </c>
      <c r="K342" s="105" t="str">
        <f>IFERROR(__xludf.DUMMYFUNCTION("GOOGLETRANSLATE(J342,""he"",""en"")"),"Master tiramisu iced coffee beverage can 240 ml")</f>
        <v>Master tiramisu iced coffee beverage can 240 ml</v>
      </c>
      <c r="L342" s="104" t="s">
        <v>2587</v>
      </c>
      <c r="M342" s="105" t="s">
        <v>6329</v>
      </c>
      <c r="N342" s="108" t="s">
        <v>6330</v>
      </c>
      <c r="O342" s="109"/>
      <c r="P342" s="109"/>
      <c r="Q342" s="111" t="s">
        <v>2586</v>
      </c>
      <c r="R342" s="115"/>
      <c r="S342" s="11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13"/>
      <c r="AD342" s="113"/>
      <c r="AE342" s="113"/>
    </row>
    <row r="343">
      <c r="A343" s="114">
        <v>4.710068001692E12</v>
      </c>
      <c r="B343" s="104" t="str">
        <f t="shared" si="1"/>
        <v>Master_Master iced coffee latte drink a can of 240 ml</v>
      </c>
      <c r="C343" s="105">
        <v>0.065</v>
      </c>
      <c r="D343" s="105">
        <v>0.095</v>
      </c>
      <c r="E343" s="105">
        <v>0.065</v>
      </c>
      <c r="F343" s="106">
        <f>ROUND('Meta data'!$B$1/E343,0)</f>
        <v>5</v>
      </c>
      <c r="G343" s="107"/>
      <c r="H343" s="105" t="s">
        <v>2562</v>
      </c>
      <c r="I343" s="105" t="str">
        <f>IFERROR(__xludf.DUMMYFUNCTION("GOOGLETRANSLATE(H343,""he"",""en"")"),"Master")</f>
        <v>Master</v>
      </c>
      <c r="J343" s="105" t="s">
        <v>2577</v>
      </c>
      <c r="K343" s="105" t="str">
        <f>IFERROR(__xludf.DUMMYFUNCTION("GOOGLETRANSLATE(J343,""he"",""en"")"),"Master iced coffee latte drink a can of 240 ml")</f>
        <v>Master iced coffee latte drink a can of 240 ml</v>
      </c>
      <c r="L343" s="104" t="s">
        <v>2581</v>
      </c>
      <c r="M343" s="105" t="s">
        <v>6329</v>
      </c>
      <c r="N343" s="108" t="s">
        <v>6330</v>
      </c>
      <c r="O343" s="109"/>
      <c r="P343" s="109"/>
      <c r="Q343" s="111" t="s">
        <v>2580</v>
      </c>
      <c r="R343" s="111"/>
      <c r="S343" s="11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13"/>
      <c r="AD343" s="113"/>
      <c r="AE343" s="113"/>
    </row>
    <row r="344">
      <c r="A344" s="114">
        <v>4.710068002798E12</v>
      </c>
      <c r="B344" s="104" t="str">
        <f t="shared" si="1"/>
        <v>Master_Coffee Vanilla master can of 240 ml</v>
      </c>
      <c r="C344" s="105">
        <v>0.065</v>
      </c>
      <c r="D344" s="105">
        <v>0.095</v>
      </c>
      <c r="E344" s="105">
        <v>0.065</v>
      </c>
      <c r="F344" s="106">
        <f>ROUND('Meta data'!$B$1/E344,0)</f>
        <v>5</v>
      </c>
      <c r="G344" s="107"/>
      <c r="H344" s="105" t="s">
        <v>2562</v>
      </c>
      <c r="I344" s="105" t="str">
        <f>IFERROR(__xludf.DUMMYFUNCTION("GOOGLETRANSLATE(H344,""he"",""en"")"),"Master")</f>
        <v>Master</v>
      </c>
      <c r="J344" s="105" t="s">
        <v>2564</v>
      </c>
      <c r="K344" s="105" t="str">
        <f>IFERROR(__xludf.DUMMYFUNCTION("GOOGLETRANSLATE(J344,""he"",""en"")"),"Coffee Vanilla master can of 240 ml")</f>
        <v>Coffee Vanilla master can of 240 ml</v>
      </c>
      <c r="L344" s="104" t="s">
        <v>2568</v>
      </c>
      <c r="M344" s="105" t="s">
        <v>6329</v>
      </c>
      <c r="N344" s="108" t="s">
        <v>6330</v>
      </c>
      <c r="O344" s="109"/>
      <c r="P344" s="109"/>
      <c r="Q344" s="111" t="s">
        <v>2567</v>
      </c>
      <c r="R344" s="111"/>
      <c r="S344" s="11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13"/>
      <c r="AD344" s="113"/>
      <c r="AE344" s="113"/>
    </row>
    <row r="345">
      <c r="A345" s="114">
        <v>4.710068001739E12</v>
      </c>
      <c r="B345" s="104" t="str">
        <f t="shared" si="1"/>
        <v>Master_Master iced coffee drink coffee Classico 240 ml</v>
      </c>
      <c r="C345" s="105">
        <v>0.065</v>
      </c>
      <c r="D345" s="105">
        <v>0.095</v>
      </c>
      <c r="E345" s="105">
        <v>0.065</v>
      </c>
      <c r="F345" s="106">
        <f>ROUND('Meta data'!$B$1/E345,0)</f>
        <v>5</v>
      </c>
      <c r="G345" s="107"/>
      <c r="H345" s="105" t="s">
        <v>2562</v>
      </c>
      <c r="I345" s="105" t="str">
        <f>IFERROR(__xludf.DUMMYFUNCTION("GOOGLETRANSLATE(H345,""he"",""en"")"),"Master")</f>
        <v>Master</v>
      </c>
      <c r="J345" s="105" t="s">
        <v>2571</v>
      </c>
      <c r="K345" s="105" t="str">
        <f>IFERROR(__xludf.DUMMYFUNCTION("GOOGLETRANSLATE(J345,""he"",""en"")"),"Master iced coffee drink coffee Classico 240 ml")</f>
        <v>Master iced coffee drink coffee Classico 240 ml</v>
      </c>
      <c r="L345" s="104" t="s">
        <v>2575</v>
      </c>
      <c r="M345" s="105" t="s">
        <v>6329</v>
      </c>
      <c r="N345" s="108" t="s">
        <v>6330</v>
      </c>
      <c r="O345" s="109"/>
      <c r="P345" s="109"/>
      <c r="Q345" s="111" t="s">
        <v>2574</v>
      </c>
      <c r="R345" s="111"/>
      <c r="S345" s="118"/>
      <c r="T345" s="112"/>
      <c r="U345" s="102"/>
      <c r="V345" s="102"/>
      <c r="W345" s="102"/>
      <c r="X345" s="102"/>
      <c r="Y345" s="102"/>
      <c r="Z345" s="102"/>
      <c r="AA345" s="102"/>
      <c r="AB345" s="102"/>
      <c r="AC345" s="113"/>
      <c r="AD345" s="113"/>
      <c r="AE345" s="113"/>
    </row>
    <row r="346">
      <c r="A346" s="133">
        <v>2.0</v>
      </c>
      <c r="B346" s="104" t="str">
        <f t="shared" si="1"/>
        <v>Meal-to-go_Meal road</v>
      </c>
      <c r="C346" s="133">
        <v>1.2</v>
      </c>
      <c r="D346" s="133">
        <v>0.18</v>
      </c>
      <c r="E346" s="133">
        <v>0.4</v>
      </c>
      <c r="F346" s="131">
        <v>15.0</v>
      </c>
      <c r="G346" s="134"/>
      <c r="H346" s="135" t="s">
        <v>2589</v>
      </c>
      <c r="I346" s="119" t="s">
        <v>6480</v>
      </c>
      <c r="J346" s="135" t="s">
        <v>2591</v>
      </c>
      <c r="K346" s="105" t="str">
        <f>IFERROR(__xludf.DUMMYFUNCTION("GOOGLETRANSLATE(J346,""he"",""en"")"),"Meal road")</f>
        <v>Meal road</v>
      </c>
      <c r="L346" s="104" t="s">
        <v>2595</v>
      </c>
      <c r="M346" s="134"/>
      <c r="N346" s="134"/>
      <c r="O346" s="134"/>
      <c r="P346" s="136"/>
      <c r="Q346" s="126" t="s">
        <v>2594</v>
      </c>
      <c r="R346" s="101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13"/>
      <c r="AD346" s="113"/>
      <c r="AE346" s="113"/>
    </row>
    <row r="347">
      <c r="A347" s="114">
        <v>7.2917589E7</v>
      </c>
      <c r="B347" s="104" t="str">
        <f t="shared" si="1"/>
        <v>Mekopelt_Mekopelt - excellent milk chocolate bar</v>
      </c>
      <c r="C347" s="105">
        <v>0.14</v>
      </c>
      <c r="D347" s="105">
        <v>0.037</v>
      </c>
      <c r="E347" s="105">
        <v>0.02</v>
      </c>
      <c r="F347" s="106">
        <f>ROUND('Meta data'!$B$1/E347,0)</f>
        <v>15</v>
      </c>
      <c r="G347" s="107"/>
      <c r="H347" s="105" t="s">
        <v>2598</v>
      </c>
      <c r="I347" s="119" t="s">
        <v>6481</v>
      </c>
      <c r="J347" s="105" t="s">
        <v>2600</v>
      </c>
      <c r="K347" s="119" t="s">
        <v>6482</v>
      </c>
      <c r="L347" s="104" t="s">
        <v>2604</v>
      </c>
      <c r="M347" s="105" t="s">
        <v>6302</v>
      </c>
      <c r="N347" s="108" t="s">
        <v>6303</v>
      </c>
      <c r="O347" s="109"/>
      <c r="P347" s="109"/>
      <c r="Q347" s="111" t="s">
        <v>2603</v>
      </c>
      <c r="R347" s="115"/>
      <c r="S347" s="11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13"/>
      <c r="AD347" s="113"/>
      <c r="AE347" s="113"/>
    </row>
    <row r="348">
      <c r="A348" s="114">
        <v>7.290100247815E12</v>
      </c>
      <c r="B348" s="104" t="str">
        <f t="shared" si="1"/>
        <v>Melted-glass_Extra glass melting soup Tomato 39 grams</v>
      </c>
      <c r="C348" s="105">
        <v>0.065</v>
      </c>
      <c r="D348" s="105">
        <v>0.09999999</v>
      </c>
      <c r="E348" s="105">
        <v>0.02</v>
      </c>
      <c r="F348" s="106">
        <f>ROUND('Meta data'!$B$1/E348,0)</f>
        <v>15</v>
      </c>
      <c r="G348" s="107"/>
      <c r="H348" s="105" t="s">
        <v>2926</v>
      </c>
      <c r="I348" s="105" t="str">
        <f>IFERROR(__xludf.DUMMYFUNCTION("GOOGLETRANSLATE(H348,""he"",""en"")"),"Melted glass")</f>
        <v>Melted glass</v>
      </c>
      <c r="J348" s="105" t="s">
        <v>2937</v>
      </c>
      <c r="K348" s="105" t="str">
        <f>IFERROR(__xludf.DUMMYFUNCTION("GOOGLETRANSLATE(J348,""he"",""en"")"),"Extra glass melting soup Tomato 39 grams")</f>
        <v>Extra glass melting soup Tomato 39 grams</v>
      </c>
      <c r="L348" s="104" t="s">
        <v>2941</v>
      </c>
      <c r="M348" s="105" t="s">
        <v>6483</v>
      </c>
      <c r="N348" s="108" t="s">
        <v>6484</v>
      </c>
      <c r="O348" s="109"/>
      <c r="P348" s="109"/>
      <c r="Q348" s="111" t="s">
        <v>2940</v>
      </c>
      <c r="R348" s="111"/>
      <c r="S348" s="112"/>
      <c r="T348" s="112"/>
      <c r="U348" s="112"/>
      <c r="V348" s="112"/>
      <c r="W348" s="102"/>
      <c r="X348" s="102"/>
      <c r="Y348" s="102"/>
      <c r="Z348" s="102"/>
      <c r="AA348" s="102"/>
      <c r="AB348" s="102"/>
      <c r="AC348" s="113"/>
      <c r="AD348" s="113"/>
      <c r="AE348" s="113"/>
    </row>
    <row r="349">
      <c r="A349" s="114">
        <v>7.290100247822E12</v>
      </c>
      <c r="B349" s="104" t="str">
        <f t="shared" si="1"/>
        <v>Melted-glass_Mark melted glass extra 32 grams of mushrooms</v>
      </c>
      <c r="C349" s="105">
        <v>0.065</v>
      </c>
      <c r="D349" s="105">
        <v>0.09999999</v>
      </c>
      <c r="E349" s="105">
        <v>0.02</v>
      </c>
      <c r="F349" s="106">
        <f>ROUND('Meta data'!$B$1/E349,0)</f>
        <v>15</v>
      </c>
      <c r="G349" s="107"/>
      <c r="H349" s="105" t="s">
        <v>2926</v>
      </c>
      <c r="I349" s="105" t="str">
        <f>IFERROR(__xludf.DUMMYFUNCTION("GOOGLETRANSLATE(H349,""he"",""en"")"),"Melted glass")</f>
        <v>Melted glass</v>
      </c>
      <c r="J349" s="105" t="s">
        <v>2962</v>
      </c>
      <c r="K349" s="105" t="str">
        <f>IFERROR(__xludf.DUMMYFUNCTION("GOOGLETRANSLATE(J349,""he"",""en"")"),"Mark melted glass extra 32 grams of mushrooms")</f>
        <v>Mark melted glass extra 32 grams of mushrooms</v>
      </c>
      <c r="L349" s="104" t="s">
        <v>2966</v>
      </c>
      <c r="M349" s="105" t="s">
        <v>6483</v>
      </c>
      <c r="N349" s="108" t="s">
        <v>6484</v>
      </c>
      <c r="O349" s="109"/>
      <c r="P349" s="109"/>
      <c r="Q349" s="115" t="s">
        <v>2965</v>
      </c>
      <c r="R349" s="116"/>
      <c r="S349" s="118"/>
      <c r="T349" s="117"/>
      <c r="U349" s="102"/>
      <c r="V349" s="102"/>
      <c r="W349" s="102"/>
      <c r="X349" s="102"/>
      <c r="Y349" s="102"/>
      <c r="Z349" s="102"/>
      <c r="AA349" s="102"/>
      <c r="AB349" s="102"/>
      <c r="AC349" s="113"/>
      <c r="AD349" s="113"/>
      <c r="AE349" s="113"/>
    </row>
    <row r="350">
      <c r="A350" s="114">
        <v>7.290100247808E12</v>
      </c>
      <c r="B350" s="104" t="str">
        <f t="shared" si="1"/>
        <v>Melted-glass_Extra -mrk melted glass with lots of chicken noodle</v>
      </c>
      <c r="C350" s="105">
        <v>0.065</v>
      </c>
      <c r="D350" s="105">
        <v>0.09999999</v>
      </c>
      <c r="E350" s="105">
        <v>0.02</v>
      </c>
      <c r="F350" s="106">
        <f>ROUND('Meta data'!$B$1/E350,0)</f>
        <v>15</v>
      </c>
      <c r="G350" s="107"/>
      <c r="H350" s="105" t="s">
        <v>2926</v>
      </c>
      <c r="I350" s="105" t="str">
        <f>IFERROR(__xludf.DUMMYFUNCTION("GOOGLETRANSLATE(H350,""he"",""en"")"),"Melted glass")</f>
        <v>Melted glass</v>
      </c>
      <c r="J350" s="105" t="s">
        <v>2928</v>
      </c>
      <c r="K350" s="105" t="str">
        <f>IFERROR(__xludf.DUMMYFUNCTION("GOOGLETRANSLATE(J350,""he"",""en"")"),"Extra -mrk melted glass with lots of chicken noodle")</f>
        <v>Extra -mrk melted glass with lots of chicken noodle</v>
      </c>
      <c r="L350" s="104" t="s">
        <v>2934</v>
      </c>
      <c r="M350" s="105" t="s">
        <v>6483</v>
      </c>
      <c r="N350" s="108" t="s">
        <v>6484</v>
      </c>
      <c r="O350" s="109"/>
      <c r="P350" s="109"/>
      <c r="Q350" s="115" t="s">
        <v>2933</v>
      </c>
      <c r="R350" s="116"/>
      <c r="S350" s="118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13"/>
      <c r="AD350" s="113"/>
      <c r="AE350" s="113"/>
    </row>
    <row r="351">
      <c r="A351" s="114">
        <v>7.290112497291E12</v>
      </c>
      <c r="B351" s="104" t="str">
        <f t="shared" si="1"/>
        <v>Melted-glass_Extra Peru melted glass Peas</v>
      </c>
      <c r="C351" s="105">
        <v>0.065</v>
      </c>
      <c r="D351" s="105">
        <v>0.09999999</v>
      </c>
      <c r="E351" s="105">
        <v>0.017</v>
      </c>
      <c r="F351" s="106">
        <f>ROUND('Meta data'!$B$1/E351,0)</f>
        <v>18</v>
      </c>
      <c r="G351" s="107"/>
      <c r="H351" s="105" t="s">
        <v>2926</v>
      </c>
      <c r="I351" s="105" t="str">
        <f>IFERROR(__xludf.DUMMYFUNCTION("GOOGLETRANSLATE(H351,""he"",""en"")"),"Melted glass")</f>
        <v>Melted glass</v>
      </c>
      <c r="J351" s="105" t="s">
        <v>2950</v>
      </c>
      <c r="K351" s="105" t="str">
        <f>IFERROR(__xludf.DUMMYFUNCTION("GOOGLETRANSLATE(J351,""he"",""en"")"),"Extra Peru melted glass Peas")</f>
        <v>Extra Peru melted glass Peas</v>
      </c>
      <c r="L351" s="104" t="s">
        <v>2954</v>
      </c>
      <c r="M351" s="105" t="s">
        <v>6483</v>
      </c>
      <c r="N351" s="108" t="s">
        <v>6484</v>
      </c>
      <c r="O351" s="109"/>
      <c r="P351" s="109"/>
      <c r="Q351" s="115" t="s">
        <v>2953</v>
      </c>
      <c r="R351" s="111"/>
      <c r="S351" s="112"/>
      <c r="T351" s="112"/>
      <c r="U351" s="102"/>
      <c r="V351" s="102"/>
      <c r="W351" s="102"/>
      <c r="X351" s="102"/>
      <c r="Y351" s="102"/>
      <c r="Z351" s="102"/>
      <c r="AA351" s="102"/>
      <c r="AB351" s="102"/>
      <c r="AC351" s="113"/>
      <c r="AD351" s="113"/>
      <c r="AE351" s="113"/>
    </row>
    <row r="352">
      <c r="A352" s="114">
        <v>7.290112497284E12</v>
      </c>
      <c r="B352" s="104" t="str">
        <f t="shared" si="1"/>
        <v>Melted-glass_Extra Peru melted glass lentils</v>
      </c>
      <c r="C352" s="105">
        <v>0.065</v>
      </c>
      <c r="D352" s="105">
        <v>0.09999999</v>
      </c>
      <c r="E352" s="105">
        <v>0.02</v>
      </c>
      <c r="F352" s="106">
        <f>ROUND('Meta data'!$B$1/E352,0)</f>
        <v>15</v>
      </c>
      <c r="G352" s="107"/>
      <c r="H352" s="105" t="s">
        <v>2926</v>
      </c>
      <c r="I352" s="105" t="str">
        <f>IFERROR(__xludf.DUMMYFUNCTION("GOOGLETRANSLATE(H352,""he"",""en"")"),"Melted glass")</f>
        <v>Melted glass</v>
      </c>
      <c r="J352" s="105" t="s">
        <v>2943</v>
      </c>
      <c r="K352" s="105" t="str">
        <f>IFERROR(__xludf.DUMMYFUNCTION("GOOGLETRANSLATE(J352,""he"",""en"")"),"Extra Peru melted glass lentils")</f>
        <v>Extra Peru melted glass lentils</v>
      </c>
      <c r="L352" s="104" t="s">
        <v>2947</v>
      </c>
      <c r="M352" s="105" t="s">
        <v>6483</v>
      </c>
      <c r="N352" s="108" t="s">
        <v>6484</v>
      </c>
      <c r="O352" s="109"/>
      <c r="P352" s="109"/>
      <c r="Q352" s="115" t="s">
        <v>2946</v>
      </c>
      <c r="R352" s="116"/>
      <c r="S352" s="118"/>
      <c r="T352" s="117"/>
      <c r="U352" s="112"/>
      <c r="V352" s="117"/>
      <c r="W352" s="102"/>
      <c r="X352" s="102"/>
      <c r="Y352" s="102"/>
      <c r="Z352" s="102"/>
      <c r="AA352" s="102"/>
      <c r="AB352" s="102"/>
      <c r="AC352" s="113"/>
      <c r="AD352" s="113"/>
      <c r="AE352" s="113"/>
    </row>
    <row r="353">
      <c r="A353" s="114">
        <v>7.290100247839E12</v>
      </c>
      <c r="B353" s="104" t="str">
        <f t="shared" si="1"/>
        <v>Melted-glass_Glass melting vegetable soup with lots of noodles</v>
      </c>
      <c r="C353" s="105">
        <v>0.065</v>
      </c>
      <c r="D353" s="105">
        <v>0.09999999</v>
      </c>
      <c r="E353" s="105">
        <v>0.02</v>
      </c>
      <c r="F353" s="106">
        <f>ROUND('Meta data'!$B$1/E353,0)</f>
        <v>15</v>
      </c>
      <c r="G353" s="107"/>
      <c r="H353" s="105" t="s">
        <v>2926</v>
      </c>
      <c r="I353" s="105" t="str">
        <f>IFERROR(__xludf.DUMMYFUNCTION("GOOGLETRANSLATE(H353,""he"",""en"")"),"Melted glass")</f>
        <v>Melted glass</v>
      </c>
      <c r="J353" s="105" t="s">
        <v>2956</v>
      </c>
      <c r="K353" s="105" t="str">
        <f>IFERROR(__xludf.DUMMYFUNCTION("GOOGLETRANSLATE(J353,""he"",""en"")"),"Glass melting vegetable soup with lots of noodles")</f>
        <v>Glass melting vegetable soup with lots of noodles</v>
      </c>
      <c r="L353" s="104" t="s">
        <v>2960</v>
      </c>
      <c r="M353" s="105" t="s">
        <v>6483</v>
      </c>
      <c r="N353" s="108" t="s">
        <v>6484</v>
      </c>
      <c r="O353" s="109"/>
      <c r="P353" s="109"/>
      <c r="Q353" s="115" t="s">
        <v>2959</v>
      </c>
      <c r="R353" s="116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13"/>
      <c r="AD353" s="113"/>
      <c r="AE353" s="113"/>
    </row>
    <row r="354">
      <c r="A354" s="114">
        <v>8.7311396E7</v>
      </c>
      <c r="B354" s="104" t="str">
        <f t="shared" si="1"/>
        <v>Mentos_Roll of Mentos candy Riinbao 37.5 g</v>
      </c>
      <c r="C354" s="105">
        <v>0.138</v>
      </c>
      <c r="D354" s="105">
        <v>0.022</v>
      </c>
      <c r="E354" s="105">
        <v>0.02</v>
      </c>
      <c r="F354" s="106">
        <f>ROUND('Meta data'!$B$1/E354,0)</f>
        <v>15</v>
      </c>
      <c r="G354" s="107"/>
      <c r="H354" s="105" t="s">
        <v>2606</v>
      </c>
      <c r="I354" s="105" t="str">
        <f>IFERROR(__xludf.DUMMYFUNCTION("GOOGLETRANSLATE(H354,""he"",""en"")"),"Mentos")</f>
        <v>Mentos</v>
      </c>
      <c r="J354" s="105" t="s">
        <v>2622</v>
      </c>
      <c r="K354" s="105" t="str">
        <f>IFERROR(__xludf.DUMMYFUNCTION("GOOGLETRANSLATE(J354,""he"",""en"")"),"Roll of Mentos candy Riinbao 37.5 g")</f>
        <v>Roll of Mentos candy Riinbao 37.5 g</v>
      </c>
      <c r="L354" s="104" t="s">
        <v>2628</v>
      </c>
      <c r="M354" s="105" t="s">
        <v>6485</v>
      </c>
      <c r="N354" s="108" t="s">
        <v>6486</v>
      </c>
      <c r="O354" s="109"/>
      <c r="P354" s="109"/>
      <c r="Q354" s="115" t="s">
        <v>2627</v>
      </c>
      <c r="R354" s="116"/>
      <c r="S354" s="118"/>
      <c r="T354" s="117"/>
      <c r="U354" s="117"/>
      <c r="V354" s="102"/>
      <c r="W354" s="102"/>
      <c r="X354" s="102"/>
      <c r="Y354" s="102"/>
      <c r="Z354" s="102"/>
      <c r="AA354" s="102"/>
      <c r="AB354" s="102"/>
      <c r="AC354" s="113"/>
      <c r="AD354" s="113"/>
      <c r="AE354" s="113"/>
    </row>
    <row r="355">
      <c r="A355" s="114">
        <v>8.0854753E7</v>
      </c>
      <c r="B355" s="104" t="str">
        <f t="shared" si="1"/>
        <v>Mentos_Sugar-free candy refreshing peppermint flavor</v>
      </c>
      <c r="C355" s="105">
        <v>0.09999999</v>
      </c>
      <c r="D355" s="105">
        <v>0.05</v>
      </c>
      <c r="E355" s="105">
        <v>0.01</v>
      </c>
      <c r="F355" s="106">
        <f>ROUND('Meta data'!$B$1/E355,0)</f>
        <v>30</v>
      </c>
      <c r="G355" s="107"/>
      <c r="H355" s="105" t="s">
        <v>2606</v>
      </c>
      <c r="I355" s="105" t="str">
        <f>IFERROR(__xludf.DUMMYFUNCTION("GOOGLETRANSLATE(H355,""he"",""en"")"),"Mentos")</f>
        <v>Mentos</v>
      </c>
      <c r="J355" s="105" t="s">
        <v>2636</v>
      </c>
      <c r="K355" s="105" t="str">
        <f>IFERROR(__xludf.DUMMYFUNCTION("GOOGLETRANSLATE(J355,""he"",""en"")"),"Sugar-free candy refreshing peppermint flavor")</f>
        <v>Sugar-free candy refreshing peppermint flavor</v>
      </c>
      <c r="L355" s="104" t="s">
        <v>2640</v>
      </c>
      <c r="M355" s="105" t="s">
        <v>6391</v>
      </c>
      <c r="N355" s="108" t="s">
        <v>6487</v>
      </c>
      <c r="O355" s="109"/>
      <c r="P355" s="109"/>
      <c r="Q355" s="115" t="s">
        <v>2639</v>
      </c>
      <c r="R355" s="111"/>
      <c r="S355" s="11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13"/>
      <c r="AD355" s="113"/>
      <c r="AE355" s="113"/>
    </row>
    <row r="356">
      <c r="A356" s="114">
        <v>8.0831402E7</v>
      </c>
      <c r="B356" s="104" t="str">
        <f t="shared" si="1"/>
        <v>Mentos_Sugar-free candy refresh gentle mint flavor</v>
      </c>
      <c r="C356" s="105">
        <v>0.09999999</v>
      </c>
      <c r="D356" s="105">
        <v>0.05</v>
      </c>
      <c r="E356" s="105">
        <v>0.01</v>
      </c>
      <c r="F356" s="106">
        <f>ROUND('Meta data'!$B$1/E356,0)</f>
        <v>30</v>
      </c>
      <c r="G356" s="107"/>
      <c r="H356" s="105" t="s">
        <v>2606</v>
      </c>
      <c r="I356" s="105" t="str">
        <f>IFERROR(__xludf.DUMMYFUNCTION("GOOGLETRANSLATE(H356,""he"",""en"")"),"Mentos")</f>
        <v>Mentos</v>
      </c>
      <c r="J356" s="105" t="s">
        <v>2630</v>
      </c>
      <c r="K356" s="105" t="str">
        <f>IFERROR(__xludf.DUMMYFUNCTION("GOOGLETRANSLATE(J356,""he"",""en"")"),"Sugar-free candy refresh gentle mint flavor")</f>
        <v>Sugar-free candy refresh gentle mint flavor</v>
      </c>
      <c r="L356" s="104" t="s">
        <v>2634</v>
      </c>
      <c r="M356" s="105" t="s">
        <v>6391</v>
      </c>
      <c r="N356" s="108" t="s">
        <v>6487</v>
      </c>
      <c r="O356" s="109"/>
      <c r="P356" s="109"/>
      <c r="Q356" s="115" t="s">
        <v>2633</v>
      </c>
      <c r="R356" s="120"/>
      <c r="S356" s="117"/>
      <c r="T356" s="117"/>
      <c r="U356" s="118"/>
      <c r="V356" s="117"/>
      <c r="W356" s="102"/>
      <c r="X356" s="102"/>
      <c r="Y356" s="102"/>
      <c r="Z356" s="102"/>
      <c r="AA356" s="102"/>
      <c r="AB356" s="102"/>
      <c r="AC356" s="113"/>
      <c r="AD356" s="113"/>
      <c r="AE356" s="113"/>
    </row>
    <row r="357">
      <c r="A357" s="114">
        <v>7.290002752349E12</v>
      </c>
      <c r="B357" s="104" t="str">
        <f t="shared" si="1"/>
        <v>Mentos_Mentos candy mint - 37.5 g</v>
      </c>
      <c r="C357" s="105">
        <v>0.138</v>
      </c>
      <c r="D357" s="105">
        <v>0.022</v>
      </c>
      <c r="E357" s="105">
        <v>0.02</v>
      </c>
      <c r="F357" s="106">
        <f>ROUND('Meta data'!$B$1/E357,0)</f>
        <v>15</v>
      </c>
      <c r="G357" s="107"/>
      <c r="H357" s="105" t="s">
        <v>2606</v>
      </c>
      <c r="I357" s="105" t="str">
        <f>IFERROR(__xludf.DUMMYFUNCTION("GOOGLETRANSLATE(H357,""he"",""en"")"),"Mentos")</f>
        <v>Mentos</v>
      </c>
      <c r="J357" s="105" t="s">
        <v>2616</v>
      </c>
      <c r="K357" s="105" t="str">
        <f>IFERROR(__xludf.DUMMYFUNCTION("GOOGLETRANSLATE(J357,""he"",""en"")"),"Mentos candy mint - 37.5 g")</f>
        <v>Mentos candy mint - 37.5 g</v>
      </c>
      <c r="L357" s="104" t="s">
        <v>2620</v>
      </c>
      <c r="M357" s="105" t="s">
        <v>6391</v>
      </c>
      <c r="N357" s="108" t="s">
        <v>6487</v>
      </c>
      <c r="O357" s="109"/>
      <c r="P357" s="109"/>
      <c r="Q357" s="115" t="s">
        <v>2619</v>
      </c>
      <c r="R357" s="116"/>
      <c r="S357" s="117"/>
      <c r="T357" s="118"/>
      <c r="U357" s="117"/>
      <c r="V357" s="102"/>
      <c r="W357" s="102"/>
      <c r="X357" s="102"/>
      <c r="Y357" s="102"/>
      <c r="Z357" s="102"/>
      <c r="AA357" s="102"/>
      <c r="AB357" s="102"/>
      <c r="AC357" s="113"/>
      <c r="AD357" s="113"/>
      <c r="AE357" s="113"/>
    </row>
    <row r="358">
      <c r="A358" s="114">
        <v>7.290002752332E12</v>
      </c>
      <c r="B358" s="104" t="str">
        <f t="shared" si="1"/>
        <v>Mentos_Mentos candies fruits - 37.5 g</v>
      </c>
      <c r="C358" s="105">
        <v>0.138</v>
      </c>
      <c r="D358" s="105">
        <v>0.022</v>
      </c>
      <c r="E358" s="105">
        <v>0.02</v>
      </c>
      <c r="F358" s="106">
        <f>ROUND('Meta data'!$B$1/E358,0)</f>
        <v>15</v>
      </c>
      <c r="G358" s="107"/>
      <c r="H358" s="105" t="s">
        <v>2606</v>
      </c>
      <c r="I358" s="105" t="str">
        <f>IFERROR(__xludf.DUMMYFUNCTION("GOOGLETRANSLATE(H358,""he"",""en"")"),"Mentos")</f>
        <v>Mentos</v>
      </c>
      <c r="J358" s="105" t="s">
        <v>2608</v>
      </c>
      <c r="K358" s="105" t="str">
        <f>IFERROR(__xludf.DUMMYFUNCTION("GOOGLETRANSLATE(J358,""he"",""en"")"),"Mentos candies fruits - 37.5 g")</f>
        <v>Mentos candies fruits - 37.5 g</v>
      </c>
      <c r="L358" s="104" t="s">
        <v>2614</v>
      </c>
      <c r="M358" s="105" t="s">
        <v>6391</v>
      </c>
      <c r="N358" s="108" t="s">
        <v>6487</v>
      </c>
      <c r="O358" s="109"/>
      <c r="P358" s="109"/>
      <c r="Q358" s="115" t="s">
        <v>2613</v>
      </c>
      <c r="R358" s="116"/>
      <c r="S358" s="117"/>
      <c r="T358" s="117"/>
      <c r="U358" s="102"/>
      <c r="V358" s="102"/>
      <c r="W358" s="102"/>
      <c r="X358" s="102"/>
      <c r="Y358" s="102"/>
      <c r="Z358" s="102"/>
      <c r="AA358" s="102"/>
      <c r="AB358" s="102"/>
      <c r="AC358" s="113"/>
      <c r="AD358" s="113"/>
      <c r="AE358" s="113"/>
    </row>
    <row r="359">
      <c r="A359" s="114">
        <v>8.710502231018E12</v>
      </c>
      <c r="B359" s="104" t="str">
        <f t="shared" si="1"/>
        <v>Merba_Mini cookies lot of chips 175 grams</v>
      </c>
      <c r="C359" s="105">
        <v>0.09</v>
      </c>
      <c r="D359" s="105">
        <v>0.16</v>
      </c>
      <c r="E359" s="105">
        <v>0.07</v>
      </c>
      <c r="F359" s="106">
        <f>ROUND('Meta data'!$B$1/E359,0)</f>
        <v>4</v>
      </c>
      <c r="G359" s="107"/>
      <c r="H359" s="105" t="s">
        <v>2642</v>
      </c>
      <c r="I359" s="119" t="s">
        <v>2643</v>
      </c>
      <c r="J359" s="105" t="s">
        <v>2644</v>
      </c>
      <c r="K359" s="105" t="str">
        <f>IFERROR(__xludf.DUMMYFUNCTION("GOOGLETRANSLATE(J359,""he"",""en"")"),"Mini cookies lot of chips 175 grams")</f>
        <v>Mini cookies lot of chips 175 grams</v>
      </c>
      <c r="L359" s="104" t="s">
        <v>2649</v>
      </c>
      <c r="M359" s="105" t="s">
        <v>6304</v>
      </c>
      <c r="N359" s="108" t="s">
        <v>6488</v>
      </c>
      <c r="O359" s="109"/>
      <c r="P359" s="109"/>
      <c r="Q359" s="115" t="s">
        <v>2648</v>
      </c>
      <c r="R359" s="116"/>
      <c r="S359" s="117"/>
      <c r="T359" s="117"/>
      <c r="U359" s="118"/>
      <c r="V359" s="102"/>
      <c r="W359" s="102"/>
      <c r="X359" s="102"/>
      <c r="Y359" s="102"/>
      <c r="Z359" s="102"/>
      <c r="AA359" s="102"/>
      <c r="AB359" s="102"/>
      <c r="AC359" s="113"/>
      <c r="AD359" s="113"/>
      <c r="AE359" s="113"/>
    </row>
    <row r="360">
      <c r="A360" s="114">
        <v>4.6214731552E10</v>
      </c>
      <c r="B360" s="104" t="str">
        <f t="shared" si="1"/>
        <v>Merba_MerbaCookies Chocolate Chips 37%</v>
      </c>
      <c r="C360" s="105">
        <v>0.28</v>
      </c>
      <c r="D360" s="105">
        <v>0.08</v>
      </c>
      <c r="E360" s="105">
        <v>0.05</v>
      </c>
      <c r="F360" s="106">
        <f>ROUND('Meta data'!$B$1/E360,0)</f>
        <v>6</v>
      </c>
      <c r="G360" s="107"/>
      <c r="H360" s="105" t="s">
        <v>2642</v>
      </c>
      <c r="I360" s="119" t="s">
        <v>2643</v>
      </c>
      <c r="J360" s="105" t="s">
        <v>2651</v>
      </c>
      <c r="K360" s="119" t="s">
        <v>6489</v>
      </c>
      <c r="L360" s="104" t="s">
        <v>2655</v>
      </c>
      <c r="M360" s="105" t="s">
        <v>6304</v>
      </c>
      <c r="N360" s="108" t="s">
        <v>6488</v>
      </c>
      <c r="O360" s="109"/>
      <c r="P360" s="109"/>
      <c r="Q360" s="115" t="s">
        <v>2654</v>
      </c>
      <c r="R360" s="116"/>
      <c r="S360" s="117"/>
      <c r="T360" s="117"/>
      <c r="U360" s="117"/>
      <c r="V360" s="102"/>
      <c r="W360" s="102"/>
      <c r="X360" s="102"/>
      <c r="Y360" s="102"/>
      <c r="Z360" s="102"/>
      <c r="AA360" s="102"/>
      <c r="AB360" s="102"/>
      <c r="AC360" s="113"/>
      <c r="AD360" s="113"/>
      <c r="AE360" s="113"/>
    </row>
    <row r="361">
      <c r="A361" s="114">
        <v>7.290000688084E12</v>
      </c>
      <c r="B361" s="104" t="str">
        <f t="shared" si="1"/>
        <v>Mey-Eden_Eden athletes stopper 500 ml</v>
      </c>
      <c r="C361" s="105">
        <v>0.06</v>
      </c>
      <c r="D361" s="105">
        <v>0.23</v>
      </c>
      <c r="E361" s="105">
        <v>0.06</v>
      </c>
      <c r="F361" s="106">
        <f>ROUND('Meta data'!$B$1/E361,0)</f>
        <v>5</v>
      </c>
      <c r="G361" s="107"/>
      <c r="H361" s="105" t="s">
        <v>2658</v>
      </c>
      <c r="I361" s="105" t="str">
        <f>IFERROR(__xludf.DUMMYFUNCTION("GOOGLETRANSLATE(H361,""he"",""en"")"),"Mey Eden")</f>
        <v>Mey Eden</v>
      </c>
      <c r="J361" s="105" t="s">
        <v>2660</v>
      </c>
      <c r="K361" s="105" t="str">
        <f>IFERROR(__xludf.DUMMYFUNCTION("GOOGLETRANSLATE(J361,""he"",""en"")"),"Eden athletes stopper 500 ml")</f>
        <v>Eden athletes stopper 500 ml</v>
      </c>
      <c r="L361" s="104" t="s">
        <v>2665</v>
      </c>
      <c r="M361" s="105" t="s">
        <v>6314</v>
      </c>
      <c r="N361" s="108" t="s">
        <v>6490</v>
      </c>
      <c r="O361" s="109"/>
      <c r="P361" s="109"/>
      <c r="Q361" s="111" t="s">
        <v>2664</v>
      </c>
      <c r="R361" s="116"/>
      <c r="S361" s="117"/>
      <c r="T361" s="117"/>
      <c r="U361" s="117"/>
      <c r="V361" s="102"/>
      <c r="W361" s="102"/>
      <c r="X361" s="102"/>
      <c r="Y361" s="102"/>
      <c r="Z361" s="102"/>
      <c r="AA361" s="102"/>
      <c r="AB361" s="102"/>
      <c r="AC361" s="113"/>
      <c r="AD361" s="113"/>
      <c r="AE361" s="113"/>
    </row>
    <row r="362">
      <c r="A362" s="114">
        <v>7.290000688114E12</v>
      </c>
      <c r="B362" s="104" t="str">
        <f t="shared" si="1"/>
        <v>Mey-Eden_Eden, 1.5 liter</v>
      </c>
      <c r="C362" s="105">
        <v>0.09</v>
      </c>
      <c r="D362" s="105">
        <v>0.34</v>
      </c>
      <c r="E362" s="105">
        <v>0.09</v>
      </c>
      <c r="F362" s="106">
        <f>ROUND('Meta data'!$B$1/E362,0)</f>
        <v>3</v>
      </c>
      <c r="G362" s="107"/>
      <c r="H362" s="105" t="s">
        <v>2658</v>
      </c>
      <c r="I362" s="105" t="str">
        <f>IFERROR(__xludf.DUMMYFUNCTION("GOOGLETRANSLATE(H362,""he"",""en"")"),"Mey Eden")</f>
        <v>Mey Eden</v>
      </c>
      <c r="J362" s="105" t="s">
        <v>2667</v>
      </c>
      <c r="K362" s="105" t="str">
        <f>IFERROR(__xludf.DUMMYFUNCTION("GOOGLETRANSLATE(J362,""he"",""en"")"),"Eden, 1.5 liter")</f>
        <v>Eden, 1.5 liter</v>
      </c>
      <c r="L362" s="104" t="s">
        <v>2671</v>
      </c>
      <c r="M362" s="105" t="s">
        <v>6314</v>
      </c>
      <c r="N362" s="108" t="s">
        <v>6315</v>
      </c>
      <c r="O362" s="109"/>
      <c r="P362" s="109"/>
      <c r="Q362" s="115" t="s">
        <v>2670</v>
      </c>
      <c r="R362" s="116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13"/>
      <c r="AD362" s="113"/>
      <c r="AE362" s="113"/>
    </row>
    <row r="363">
      <c r="A363" s="114">
        <v>7.290017888972E12</v>
      </c>
      <c r="B363" s="104" t="str">
        <f t="shared" si="1"/>
        <v>Mey-Eden_Mei Eden mineral water sports cap 1 L</v>
      </c>
      <c r="C363" s="105">
        <v>0.087</v>
      </c>
      <c r="D363" s="105">
        <v>0.255</v>
      </c>
      <c r="E363" s="105">
        <v>0.087</v>
      </c>
      <c r="F363" s="106">
        <f>ROUND('Meta data'!$B$1/E363,0)</f>
        <v>3</v>
      </c>
      <c r="G363" s="107"/>
      <c r="H363" s="105" t="s">
        <v>2658</v>
      </c>
      <c r="I363" s="105" t="str">
        <f>IFERROR(__xludf.DUMMYFUNCTION("GOOGLETRANSLATE(H363,""he"",""en"")"),"Mey Eden")</f>
        <v>Mey Eden</v>
      </c>
      <c r="J363" s="105" t="s">
        <v>2673</v>
      </c>
      <c r="K363" s="105" t="str">
        <f>IFERROR(__xludf.DUMMYFUNCTION("GOOGLETRANSLATE(J363,""he"",""en"")"),"Mei Eden mineral water sports cap 1 L")</f>
        <v>Mei Eden mineral water sports cap 1 L</v>
      </c>
      <c r="L363" s="104" t="s">
        <v>2677</v>
      </c>
      <c r="M363" s="105" t="s">
        <v>6314</v>
      </c>
      <c r="N363" s="108" t="s">
        <v>6315</v>
      </c>
      <c r="O363" s="109"/>
      <c r="P363" s="109"/>
      <c r="Q363" s="115" t="s">
        <v>2676</v>
      </c>
      <c r="R363" s="116"/>
      <c r="S363" s="117"/>
      <c r="T363" s="117"/>
      <c r="U363" s="118"/>
      <c r="V363" s="117"/>
      <c r="W363" s="102"/>
      <c r="X363" s="102"/>
      <c r="Y363" s="102"/>
      <c r="Z363" s="102"/>
      <c r="AA363" s="102"/>
      <c r="AB363" s="102"/>
      <c r="AC363" s="113"/>
      <c r="AD363" s="113"/>
      <c r="AE363" s="113"/>
    </row>
    <row r="364">
      <c r="A364" s="114">
        <v>7.622201809188E12</v>
      </c>
      <c r="B364" s="104" t="str">
        <f t="shared" si="1"/>
        <v>Mielke_Milka biscuits 150g</v>
      </c>
      <c r="C364" s="105">
        <v>0.26</v>
      </c>
      <c r="D364" s="105">
        <v>0.09</v>
      </c>
      <c r="E364" s="105">
        <v>0.06</v>
      </c>
      <c r="F364" s="106">
        <f>ROUND('Meta data'!$B$1/E364,0)</f>
        <v>5</v>
      </c>
      <c r="G364" s="107"/>
      <c r="H364" s="105" t="s">
        <v>2697</v>
      </c>
      <c r="I364" s="105" t="str">
        <f>IFERROR(__xludf.DUMMYFUNCTION("GOOGLETRANSLATE(H364,""he"",""en"")"),"Mielke")</f>
        <v>Mielke</v>
      </c>
      <c r="J364" s="105" t="s">
        <v>2699</v>
      </c>
      <c r="K364" s="105" t="str">
        <f>IFERROR(__xludf.DUMMYFUNCTION("GOOGLETRANSLATE(J364,""he"",""en"")"),"Milka biscuits 150g")</f>
        <v>Milka biscuits 150g</v>
      </c>
      <c r="L364" s="104" t="s">
        <v>2703</v>
      </c>
      <c r="M364" s="105" t="s">
        <v>6304</v>
      </c>
      <c r="N364" s="108" t="s">
        <v>6305</v>
      </c>
      <c r="O364" s="109"/>
      <c r="P364" s="109"/>
      <c r="Q364" s="115" t="s">
        <v>2702</v>
      </c>
      <c r="R364" s="116"/>
      <c r="S364" s="117"/>
      <c r="T364" s="117"/>
      <c r="U364" s="102"/>
      <c r="V364" s="102"/>
      <c r="W364" s="102"/>
      <c r="X364" s="102"/>
      <c r="Y364" s="102"/>
      <c r="Z364" s="102"/>
      <c r="AA364" s="102"/>
      <c r="AB364" s="102"/>
      <c r="AC364" s="113"/>
      <c r="AD364" s="113"/>
      <c r="AE364" s="113"/>
    </row>
    <row r="365">
      <c r="A365" s="114">
        <v>7.622201137052E12</v>
      </c>
      <c r="B365" s="104" t="str">
        <f t="shared" si="1"/>
        <v>Mielke_Milka kinds of cookies 110 g</v>
      </c>
      <c r="C365" s="105">
        <v>0.14</v>
      </c>
      <c r="D365" s="105">
        <v>0.17</v>
      </c>
      <c r="E365" s="105">
        <v>0.035</v>
      </c>
      <c r="F365" s="106">
        <f>ROUND('Meta data'!$B$1/E365,0)</f>
        <v>9</v>
      </c>
      <c r="G365" s="107"/>
      <c r="H365" s="105" t="s">
        <v>2697</v>
      </c>
      <c r="I365" s="105" t="str">
        <f>IFERROR(__xludf.DUMMYFUNCTION("GOOGLETRANSLATE(H365,""he"",""en"")"),"Mielke")</f>
        <v>Mielke</v>
      </c>
      <c r="J365" s="105" t="s">
        <v>2717</v>
      </c>
      <c r="K365" s="105" t="str">
        <f>IFERROR(__xludf.DUMMYFUNCTION("GOOGLETRANSLATE(J365,""he"",""en"")"),"Milka kinds of cookies 110 g")</f>
        <v>Milka kinds of cookies 110 g</v>
      </c>
      <c r="L365" s="104" t="s">
        <v>2721</v>
      </c>
      <c r="M365" s="105" t="s">
        <v>6304</v>
      </c>
      <c r="N365" s="108" t="s">
        <v>6488</v>
      </c>
      <c r="O365" s="109"/>
      <c r="P365" s="109"/>
      <c r="Q365" s="115" t="s">
        <v>2720</v>
      </c>
      <c r="R365" s="116"/>
      <c r="S365" s="117"/>
      <c r="T365" s="117"/>
      <c r="U365" s="112"/>
      <c r="V365" s="102"/>
      <c r="W365" s="102"/>
      <c r="X365" s="102"/>
      <c r="Y365" s="102"/>
      <c r="Z365" s="102"/>
      <c r="AA365" s="102"/>
      <c r="AB365" s="102"/>
      <c r="AC365" s="113"/>
      <c r="AD365" s="113"/>
      <c r="AE365" s="113"/>
    </row>
    <row r="366">
      <c r="A366" s="114">
        <v>7.622300356767E12</v>
      </c>
      <c r="B366" s="104" t="str">
        <f t="shared" si="1"/>
        <v>Mielke_Milka chocolate-covered potato chips cookies 168 g</v>
      </c>
      <c r="C366" s="105">
        <v>0.26</v>
      </c>
      <c r="D366" s="105">
        <v>0.09</v>
      </c>
      <c r="E366" s="105">
        <v>0.06</v>
      </c>
      <c r="F366" s="106">
        <f>ROUND('Meta data'!$B$1/E366,0)</f>
        <v>5</v>
      </c>
      <c r="G366" s="107"/>
      <c r="H366" s="105" t="s">
        <v>2697</v>
      </c>
      <c r="I366" s="105" t="str">
        <f>IFERROR(__xludf.DUMMYFUNCTION("GOOGLETRANSLATE(H366,""he"",""en"")"),"Mielke")</f>
        <v>Mielke</v>
      </c>
      <c r="J366" s="105" t="s">
        <v>2705</v>
      </c>
      <c r="K366" s="105" t="str">
        <f>IFERROR(__xludf.DUMMYFUNCTION("GOOGLETRANSLATE(J366,""he"",""en"")"),"Milka chocolate-covered potato chips cookies 168 g")</f>
        <v>Milka chocolate-covered potato chips cookies 168 g</v>
      </c>
      <c r="L366" s="104" t="s">
        <v>2709</v>
      </c>
      <c r="M366" s="105" t="s">
        <v>6304</v>
      </c>
      <c r="N366" s="108" t="s">
        <v>6488</v>
      </c>
      <c r="O366" s="109"/>
      <c r="P366" s="109"/>
      <c r="Q366" s="115" t="s">
        <v>2708</v>
      </c>
      <c r="R366" s="116"/>
      <c r="S366" s="117"/>
      <c r="T366" s="117"/>
      <c r="U366" s="102"/>
      <c r="V366" s="102"/>
      <c r="W366" s="102"/>
      <c r="X366" s="102"/>
      <c r="Y366" s="102"/>
      <c r="Z366" s="102"/>
      <c r="AA366" s="102"/>
      <c r="AB366" s="102"/>
      <c r="AC366" s="113"/>
      <c r="AD366" s="113"/>
      <c r="AE366" s="113"/>
    </row>
    <row r="367">
      <c r="A367" s="114">
        <v>4.025700001023E12</v>
      </c>
      <c r="B367" s="104" t="str">
        <f t="shared" si="1"/>
        <v>Mielke_Milka Choukoud milk with hazelnuts 100g</v>
      </c>
      <c r="C367" s="105">
        <v>0.15</v>
      </c>
      <c r="D367" s="105">
        <v>0.079</v>
      </c>
      <c r="E367" s="105">
        <v>0.02</v>
      </c>
      <c r="F367" s="106">
        <f>ROUND('Meta data'!$B$1/E367,0)</f>
        <v>15</v>
      </c>
      <c r="G367" s="107"/>
      <c r="H367" s="105" t="s">
        <v>2697</v>
      </c>
      <c r="I367" s="105" t="str">
        <f>IFERROR(__xludf.DUMMYFUNCTION("GOOGLETRANSLATE(H367,""he"",""en"")"),"Mielke")</f>
        <v>Mielke</v>
      </c>
      <c r="J367" s="105" t="s">
        <v>2711</v>
      </c>
      <c r="K367" s="105" t="str">
        <f>IFERROR(__xludf.DUMMYFUNCTION("GOOGLETRANSLATE(J367,""he"",""en"")"),"Milka Choukoud milk with hazelnuts 100g")</f>
        <v>Milka Choukoud milk with hazelnuts 100g</v>
      </c>
      <c r="L367" s="104" t="s">
        <v>2715</v>
      </c>
      <c r="M367" s="105" t="s">
        <v>6346</v>
      </c>
      <c r="N367" s="108" t="s">
        <v>6348</v>
      </c>
      <c r="O367" s="109"/>
      <c r="P367" s="109"/>
      <c r="Q367" s="115" t="s">
        <v>2714</v>
      </c>
      <c r="R367" s="116"/>
      <c r="S367" s="117"/>
      <c r="T367" s="117"/>
      <c r="U367" s="102"/>
      <c r="V367" s="102"/>
      <c r="W367" s="102"/>
      <c r="X367" s="102"/>
      <c r="Y367" s="102"/>
      <c r="Z367" s="102"/>
      <c r="AA367" s="102"/>
      <c r="AB367" s="102"/>
      <c r="AC367" s="113"/>
      <c r="AD367" s="113"/>
      <c r="AE367" s="113"/>
    </row>
    <row r="368">
      <c r="A368" s="114">
        <v>7.0970473562E10</v>
      </c>
      <c r="B368" s="104" t="str">
        <f t="shared" si="1"/>
        <v>Mike-End-Ike_Mike End Ike Mega Mix 141 g</v>
      </c>
      <c r="C368" s="105">
        <v>0.155</v>
      </c>
      <c r="D368" s="105">
        <v>0.085</v>
      </c>
      <c r="E368" s="105">
        <v>0.02</v>
      </c>
      <c r="F368" s="106">
        <f>ROUND('Meta data'!$B$1/E368,0)</f>
        <v>15</v>
      </c>
      <c r="G368" s="107"/>
      <c r="H368" s="105" t="s">
        <v>2680</v>
      </c>
      <c r="I368" s="105" t="str">
        <f>IFERROR(__xludf.DUMMYFUNCTION("GOOGLETRANSLATE(H368,""he"",""en"")"),"Mike End Ike")</f>
        <v>Mike End Ike</v>
      </c>
      <c r="J368" s="105" t="s">
        <v>2691</v>
      </c>
      <c r="K368" s="105" t="str">
        <f>IFERROR(__xludf.DUMMYFUNCTION("GOOGLETRANSLATE(J368,""he"",""en"")"),"Mike End Ike Mega Mix 141 g")</f>
        <v>Mike End Ike Mega Mix 141 g</v>
      </c>
      <c r="L368" s="104" t="s">
        <v>2695</v>
      </c>
      <c r="M368" s="105" t="s">
        <v>6491</v>
      </c>
      <c r="N368" s="108" t="s">
        <v>6492</v>
      </c>
      <c r="O368" s="109"/>
      <c r="P368" s="109"/>
      <c r="Q368" s="115" t="s">
        <v>2694</v>
      </c>
      <c r="R368" s="115"/>
      <c r="S368" s="117"/>
      <c r="T368" s="117"/>
      <c r="U368" s="117"/>
      <c r="V368" s="102"/>
      <c r="W368" s="102"/>
      <c r="X368" s="102"/>
      <c r="Y368" s="102"/>
      <c r="Z368" s="102"/>
      <c r="AA368" s="102"/>
      <c r="AB368" s="102"/>
      <c r="AC368" s="113"/>
      <c r="AD368" s="113"/>
      <c r="AE368" s="113"/>
    </row>
    <row r="369">
      <c r="A369" s="114">
        <v>7.0970471254E10</v>
      </c>
      <c r="B369" s="104" t="str">
        <f t="shared" si="1"/>
        <v>Mike-End-Ike_End Ike Mike Green fruit 141 g</v>
      </c>
      <c r="C369" s="105">
        <v>0.155</v>
      </c>
      <c r="D369" s="105">
        <v>0.085</v>
      </c>
      <c r="E369" s="105">
        <v>0.02</v>
      </c>
      <c r="F369" s="106">
        <f>ROUND('Meta data'!$B$1/E369,0)</f>
        <v>15</v>
      </c>
      <c r="G369" s="107"/>
      <c r="H369" s="105" t="s">
        <v>2680</v>
      </c>
      <c r="I369" s="105" t="str">
        <f>IFERROR(__xludf.DUMMYFUNCTION("GOOGLETRANSLATE(H369,""he"",""en"")"),"Mike End Ike")</f>
        <v>Mike End Ike</v>
      </c>
      <c r="J369" s="105" t="s">
        <v>2682</v>
      </c>
      <c r="K369" s="105" t="str">
        <f>IFERROR(__xludf.DUMMYFUNCTION("GOOGLETRANSLATE(J369,""he"",""en"")"),"End Ike Mike Green fruit 141 g")</f>
        <v>End Ike Mike Green fruit 141 g</v>
      </c>
      <c r="L369" s="104" t="s">
        <v>2688</v>
      </c>
      <c r="M369" s="105" t="s">
        <v>6491</v>
      </c>
      <c r="N369" s="108" t="s">
        <v>6492</v>
      </c>
      <c r="O369" s="109"/>
      <c r="P369" s="109"/>
      <c r="Q369" s="115" t="s">
        <v>2687</v>
      </c>
      <c r="R369" s="116"/>
      <c r="S369" s="118"/>
      <c r="T369" s="117"/>
      <c r="U369" s="117"/>
      <c r="V369" s="102"/>
      <c r="W369" s="102"/>
      <c r="X369" s="102"/>
      <c r="Y369" s="102"/>
      <c r="Z369" s="102"/>
      <c r="AA369" s="102"/>
      <c r="AB369" s="102"/>
      <c r="AC369" s="113"/>
      <c r="AD369" s="113"/>
      <c r="AE369" s="113"/>
    </row>
    <row r="370">
      <c r="A370" s="114">
        <v>7.290106663121E12</v>
      </c>
      <c r="B370" s="104" t="str">
        <f t="shared" si="1"/>
        <v>Milki_Milky Cake - Cake Custom</v>
      </c>
      <c r="C370" s="105">
        <v>0.06</v>
      </c>
      <c r="D370" s="105">
        <v>0.09999999</v>
      </c>
      <c r="E370" s="105">
        <v>0.02</v>
      </c>
      <c r="F370" s="106">
        <f>ROUND('Meta data'!$B$1/E370,0)</f>
        <v>15</v>
      </c>
      <c r="G370" s="107"/>
      <c r="H370" s="105" t="s">
        <v>2743</v>
      </c>
      <c r="I370" s="105" t="str">
        <f>IFERROR(__xludf.DUMMYFUNCTION("GOOGLETRANSLATE(H370,""he"",""en"")"),"Milki")</f>
        <v>Milki</v>
      </c>
      <c r="J370" s="105" t="s">
        <v>2753</v>
      </c>
      <c r="K370" s="105" t="str">
        <f>IFERROR(__xludf.DUMMYFUNCTION("GOOGLETRANSLATE(J370,""he"",""en"")"),"Milky Cake - Cake Custom")</f>
        <v>Milky Cake - Cake Custom</v>
      </c>
      <c r="L370" s="104" t="s">
        <v>2759</v>
      </c>
      <c r="M370" s="105" t="s">
        <v>6493</v>
      </c>
      <c r="N370" s="108" t="s">
        <v>6494</v>
      </c>
      <c r="O370" s="109"/>
      <c r="P370" s="109"/>
      <c r="Q370" s="115" t="s">
        <v>2758</v>
      </c>
      <c r="R370" s="116"/>
      <c r="S370" s="117"/>
      <c r="T370" s="117"/>
      <c r="U370" s="117"/>
      <c r="V370" s="102"/>
      <c r="W370" s="102"/>
      <c r="X370" s="102"/>
      <c r="Y370" s="102"/>
      <c r="Z370" s="102"/>
      <c r="AA370" s="102"/>
      <c r="AB370" s="102"/>
      <c r="AC370" s="113"/>
      <c r="AD370" s="113"/>
      <c r="AE370" s="113"/>
    </row>
    <row r="371">
      <c r="A371" s="114">
        <v>5839313.0</v>
      </c>
      <c r="B371" s="104" t="str">
        <f t="shared" si="1"/>
        <v>Milki_Milky top sash 140 g</v>
      </c>
      <c r="C371" s="105">
        <v>0.07</v>
      </c>
      <c r="D371" s="105">
        <v>0.09</v>
      </c>
      <c r="E371" s="105">
        <v>0.07</v>
      </c>
      <c r="F371" s="106">
        <f>ROUND('Meta data'!$B$1/E371,0)</f>
        <v>4</v>
      </c>
      <c r="G371" s="107"/>
      <c r="H371" s="105" t="s">
        <v>2743</v>
      </c>
      <c r="I371" s="105" t="str">
        <f>IFERROR(__xludf.DUMMYFUNCTION("GOOGLETRANSLATE(H371,""he"",""en"")"),"Milki")</f>
        <v>Milki</v>
      </c>
      <c r="J371" s="105" t="s">
        <v>2762</v>
      </c>
      <c r="K371" s="105" t="str">
        <f>IFERROR(__xludf.DUMMYFUNCTION("GOOGLETRANSLATE(J371,""he"",""en"")"),"Milky top sash 140 g")</f>
        <v>Milky top sash 140 g</v>
      </c>
      <c r="L371" s="104" t="s">
        <v>2766</v>
      </c>
      <c r="M371" s="105" t="s">
        <v>6372</v>
      </c>
      <c r="N371" s="108" t="s">
        <v>6495</v>
      </c>
      <c r="O371" s="109"/>
      <c r="P371" s="109"/>
      <c r="Q371" s="111" t="s">
        <v>2765</v>
      </c>
      <c r="R371" s="115"/>
      <c r="S371" s="11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13"/>
      <c r="AD371" s="113"/>
      <c r="AE371" s="113"/>
    </row>
    <row r="372">
      <c r="A372" s="114">
        <v>7.2940761E7</v>
      </c>
      <c r="B372" s="104" t="str">
        <f t="shared" si="1"/>
        <v>Milki_Chocolate pudding with whipped cream - 7% fat</v>
      </c>
      <c r="C372" s="105">
        <v>0.07</v>
      </c>
      <c r="D372" s="105">
        <v>0.08</v>
      </c>
      <c r="E372" s="105">
        <v>0.07</v>
      </c>
      <c r="F372" s="106">
        <f>ROUND('Meta data'!$B$1/E372,0)</f>
        <v>4</v>
      </c>
      <c r="G372" s="107"/>
      <c r="H372" s="105" t="s">
        <v>2743</v>
      </c>
      <c r="I372" s="105" t="str">
        <f>IFERROR(__xludf.DUMMYFUNCTION("GOOGLETRANSLATE(H372,""he"",""en"")"),"Milki")</f>
        <v>Milki</v>
      </c>
      <c r="J372" s="105" t="s">
        <v>2745</v>
      </c>
      <c r="K372" s="105" t="str">
        <f>IFERROR(__xludf.DUMMYFUNCTION("GOOGLETRANSLATE(J372,""he"",""en"")"),"Chocolate pudding with whipped cream - 7% fat")</f>
        <v>Chocolate pudding with whipped cream - 7% fat</v>
      </c>
      <c r="L372" s="104" t="s">
        <v>2750</v>
      </c>
      <c r="M372" s="105" t="s">
        <v>6372</v>
      </c>
      <c r="N372" s="108" t="s">
        <v>6495</v>
      </c>
      <c r="O372" s="109"/>
      <c r="P372" s="109"/>
      <c r="Q372" s="111" t="s">
        <v>2749</v>
      </c>
      <c r="R372" s="111"/>
      <c r="S372" s="137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13"/>
      <c r="AD372" s="113"/>
      <c r="AE372" s="113"/>
    </row>
    <row r="373">
      <c r="A373" s="114">
        <v>7.290104066016E12</v>
      </c>
      <c r="B373" s="104" t="str">
        <f t="shared" si="1"/>
        <v>Milki_Pudding flavored with lentils extension</v>
      </c>
      <c r="C373" s="105">
        <v>0.065</v>
      </c>
      <c r="D373" s="105">
        <v>0.09</v>
      </c>
      <c r="E373" s="105">
        <v>0.065</v>
      </c>
      <c r="F373" s="106">
        <f>ROUND('Meta data'!$B$1/E373,0)</f>
        <v>5</v>
      </c>
      <c r="G373" s="107"/>
      <c r="H373" s="105" t="s">
        <v>2743</v>
      </c>
      <c r="I373" s="105" t="str">
        <f>IFERROR(__xludf.DUMMYFUNCTION("GOOGLETRANSLATE(H373,""he"",""en"")"),"Milki")</f>
        <v>Milki</v>
      </c>
      <c r="J373" s="105" t="s">
        <v>2768</v>
      </c>
      <c r="K373" s="105" t="str">
        <f>IFERROR(__xludf.DUMMYFUNCTION("GOOGLETRANSLATE(J373,""he"",""en"")"),"Pudding flavored with lentils extension")</f>
        <v>Pudding flavored with lentils extension</v>
      </c>
      <c r="L373" s="104" t="s">
        <v>2772</v>
      </c>
      <c r="M373" s="105" t="s">
        <v>6372</v>
      </c>
      <c r="N373" s="108" t="s">
        <v>6495</v>
      </c>
      <c r="O373" s="109"/>
      <c r="P373" s="109"/>
      <c r="Q373" s="111" t="s">
        <v>2771</v>
      </c>
      <c r="R373" s="111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13"/>
      <c r="AD373" s="113"/>
      <c r="AE373" s="113"/>
    </row>
    <row r="374">
      <c r="A374" s="114">
        <v>7.290006764782E12</v>
      </c>
      <c r="B374" s="104" t="str">
        <f t="shared" si="1"/>
        <v>Mirinda_Mirinda Mix White Grapes Hotel, 500 ml</v>
      </c>
      <c r="C374" s="105">
        <v>0.065</v>
      </c>
      <c r="D374" s="105">
        <v>0.24</v>
      </c>
      <c r="E374" s="105">
        <v>0.065</v>
      </c>
      <c r="F374" s="106">
        <f>ROUND('Meta data'!$B$1/E374,0)</f>
        <v>5</v>
      </c>
      <c r="G374" s="107"/>
      <c r="H374" s="105" t="s">
        <v>2810</v>
      </c>
      <c r="I374" s="105" t="str">
        <f>IFERROR(__xludf.DUMMYFUNCTION("GOOGLETRANSLATE(H374,""he"",""en"")"),"Mirinda")</f>
        <v>Mirinda</v>
      </c>
      <c r="J374" s="105" t="s">
        <v>2824</v>
      </c>
      <c r="K374" s="105" t="str">
        <f>IFERROR(__xludf.DUMMYFUNCTION("GOOGLETRANSLATE(J374,""he"",""en"")"),"Mirinda Mix White Grapes Hotel, 500 ml")</f>
        <v>Mirinda Mix White Grapes Hotel, 500 ml</v>
      </c>
      <c r="L374" s="104" t="s">
        <v>2828</v>
      </c>
      <c r="M374" s="105" t="s">
        <v>6351</v>
      </c>
      <c r="N374" s="108" t="s">
        <v>6352</v>
      </c>
      <c r="O374" s="109"/>
      <c r="P374" s="109"/>
      <c r="Q374" s="115" t="s">
        <v>2827</v>
      </c>
      <c r="R374" s="115"/>
      <c r="S374" s="117"/>
      <c r="T374" s="117"/>
      <c r="U374" s="102"/>
      <c r="V374" s="102"/>
      <c r="W374" s="102"/>
      <c r="X374" s="102"/>
      <c r="Y374" s="102"/>
      <c r="Z374" s="102"/>
      <c r="AA374" s="102"/>
      <c r="AB374" s="102"/>
      <c r="AC374" s="113"/>
      <c r="AD374" s="113"/>
      <c r="AE374" s="113"/>
    </row>
    <row r="375">
      <c r="A375" s="114">
        <v>7.290006764768E12</v>
      </c>
      <c r="B375" s="104" t="str">
        <f t="shared" si="1"/>
        <v>Mirinda_Miranda Mix cranberry orange, 500 ml</v>
      </c>
      <c r="C375" s="105">
        <v>0.065</v>
      </c>
      <c r="D375" s="105">
        <v>0.24</v>
      </c>
      <c r="E375" s="105">
        <v>0.065</v>
      </c>
      <c r="F375" s="106">
        <f>ROUND('Meta data'!$B$1/E375,0)</f>
        <v>5</v>
      </c>
      <c r="G375" s="107"/>
      <c r="H375" s="105" t="s">
        <v>2810</v>
      </c>
      <c r="I375" s="105" t="str">
        <f>IFERROR(__xludf.DUMMYFUNCTION("GOOGLETRANSLATE(H375,""he"",""en"")"),"Mirinda")</f>
        <v>Mirinda</v>
      </c>
      <c r="J375" s="105" t="s">
        <v>2812</v>
      </c>
      <c r="K375" s="105" t="str">
        <f>IFERROR(__xludf.DUMMYFUNCTION("GOOGLETRANSLATE(J375,""he"",""en"")"),"Miranda Mix cranberry orange, 500 ml")</f>
        <v>Miranda Mix cranberry orange, 500 ml</v>
      </c>
      <c r="L375" s="104" t="s">
        <v>2816</v>
      </c>
      <c r="M375" s="105" t="s">
        <v>6351</v>
      </c>
      <c r="N375" s="108" t="s">
        <v>6352</v>
      </c>
      <c r="O375" s="109"/>
      <c r="P375" s="109"/>
      <c r="Q375" s="115" t="s">
        <v>2815</v>
      </c>
      <c r="R375" s="116"/>
      <c r="S375" s="117"/>
      <c r="T375" s="118"/>
      <c r="U375" s="102"/>
      <c r="V375" s="102"/>
      <c r="W375" s="102"/>
      <c r="X375" s="102"/>
      <c r="Y375" s="102"/>
      <c r="Z375" s="102"/>
      <c r="AA375" s="102"/>
      <c r="AB375" s="102"/>
      <c r="AC375" s="113"/>
      <c r="AD375" s="113"/>
      <c r="AE375" s="113"/>
    </row>
    <row r="376">
      <c r="A376" s="114">
        <v>7.290010237562E12</v>
      </c>
      <c r="B376" s="104" t="str">
        <f t="shared" si="1"/>
        <v>Mirinda_Mirinda bottle of 500 ml</v>
      </c>
      <c r="C376" s="105">
        <v>0.065</v>
      </c>
      <c r="D376" s="105">
        <v>0.24</v>
      </c>
      <c r="E376" s="105">
        <v>0.065</v>
      </c>
      <c r="F376" s="106">
        <f>ROUND('Meta data'!$B$1/E376,0)</f>
        <v>5</v>
      </c>
      <c r="G376" s="107"/>
      <c r="H376" s="105" t="s">
        <v>2810</v>
      </c>
      <c r="I376" s="105" t="str">
        <f>IFERROR(__xludf.DUMMYFUNCTION("GOOGLETRANSLATE(H376,""he"",""en"")"),"Mirinda")</f>
        <v>Mirinda</v>
      </c>
      <c r="J376" s="105" t="s">
        <v>2818</v>
      </c>
      <c r="K376" s="105" t="str">
        <f>IFERROR(__xludf.DUMMYFUNCTION("GOOGLETRANSLATE(J376,""he"",""en"")"),"Mirinda bottle of 500 ml")</f>
        <v>Mirinda bottle of 500 ml</v>
      </c>
      <c r="L376" s="104" t="s">
        <v>2822</v>
      </c>
      <c r="M376" s="105" t="s">
        <v>6496</v>
      </c>
      <c r="N376" s="108" t="s">
        <v>6497</v>
      </c>
      <c r="O376" s="109"/>
      <c r="P376" s="109"/>
      <c r="Q376" s="115" t="s">
        <v>2821</v>
      </c>
      <c r="R376" s="116"/>
      <c r="S376" s="117"/>
      <c r="T376" s="117"/>
      <c r="U376" s="118"/>
      <c r="V376" s="117"/>
      <c r="W376" s="102"/>
      <c r="X376" s="102"/>
      <c r="Y376" s="102"/>
      <c r="Z376" s="102"/>
      <c r="AA376" s="102"/>
      <c r="AB376" s="102"/>
      <c r="AC376" s="113"/>
      <c r="AD376" s="113"/>
      <c r="AE376" s="113"/>
    </row>
    <row r="377">
      <c r="A377" s="114">
        <v>433745.0</v>
      </c>
      <c r="B377" s="104" t="str">
        <f t="shared" si="1"/>
        <v>Mirinda_Tempo Mirinda 1.5 liters</v>
      </c>
      <c r="C377" s="105">
        <v>0.08</v>
      </c>
      <c r="D377" s="105">
        <v>0.33</v>
      </c>
      <c r="E377" s="105">
        <v>0.08</v>
      </c>
      <c r="F377" s="106">
        <f>ROUND('Meta data'!$B$1/E377,0)</f>
        <v>4</v>
      </c>
      <c r="G377" s="107"/>
      <c r="H377" s="105" t="s">
        <v>2810</v>
      </c>
      <c r="I377" s="105" t="str">
        <f>IFERROR(__xludf.DUMMYFUNCTION("GOOGLETRANSLATE(H377,""he"",""en"")"),"Mirinda")</f>
        <v>Mirinda</v>
      </c>
      <c r="J377" s="105" t="s">
        <v>2830</v>
      </c>
      <c r="K377" s="105" t="str">
        <f>IFERROR(__xludf.DUMMYFUNCTION("GOOGLETRANSLATE(J377,""he"",""en"")"),"Tempo Mirinda 1.5 liters")</f>
        <v>Tempo Mirinda 1.5 liters</v>
      </c>
      <c r="L377" s="104" t="s">
        <v>2834</v>
      </c>
      <c r="M377" s="105" t="s">
        <v>6496</v>
      </c>
      <c r="N377" s="108" t="s">
        <v>6498</v>
      </c>
      <c r="O377" s="109"/>
      <c r="P377" s="109"/>
      <c r="Q377" s="115" t="s">
        <v>2833</v>
      </c>
      <c r="R377" s="120"/>
      <c r="S377" s="118"/>
      <c r="T377" s="117"/>
      <c r="U377" s="102"/>
      <c r="V377" s="102"/>
      <c r="W377" s="102"/>
      <c r="X377" s="102"/>
      <c r="Y377" s="102"/>
      <c r="Z377" s="102"/>
      <c r="AA377" s="102"/>
      <c r="AB377" s="102"/>
      <c r="AC377" s="113"/>
      <c r="AD377" s="113"/>
      <c r="AE377" s="113"/>
    </row>
    <row r="378">
      <c r="A378" s="114">
        <v>5.060517886486E12</v>
      </c>
      <c r="B378" s="104" t="str">
        <f t="shared" si="1"/>
        <v>Munster_Munster Energy Drink Energy</v>
      </c>
      <c r="C378" s="105">
        <v>0.066</v>
      </c>
      <c r="D378" s="105">
        <v>0.168</v>
      </c>
      <c r="E378" s="105">
        <v>0.066</v>
      </c>
      <c r="F378" s="106">
        <f>ROUND('Meta data'!$B$1/E378,0)</f>
        <v>5</v>
      </c>
      <c r="G378" s="107"/>
      <c r="H378" s="105" t="s">
        <v>2836</v>
      </c>
      <c r="I378" s="105" t="str">
        <f>IFERROR(__xludf.DUMMYFUNCTION("GOOGLETRANSLATE(H378,""he"",""en"")"),"Munster")</f>
        <v>Munster</v>
      </c>
      <c r="J378" s="105" t="s">
        <v>2843</v>
      </c>
      <c r="K378" s="105" t="str">
        <f>IFERROR(__xludf.DUMMYFUNCTION("GOOGLETRANSLATE(J378,""he"",""en"")"),"Munster Energy Drink Energy")</f>
        <v>Munster Energy Drink Energy</v>
      </c>
      <c r="L378" s="104" t="s">
        <v>2847</v>
      </c>
      <c r="M378" s="105" t="s">
        <v>6329</v>
      </c>
      <c r="N378" s="108" t="s">
        <v>6334</v>
      </c>
      <c r="O378" s="109"/>
      <c r="P378" s="109"/>
      <c r="Q378" s="111" t="s">
        <v>2846</v>
      </c>
      <c r="R378" s="111"/>
      <c r="S378" s="11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13"/>
      <c r="AD378" s="113"/>
      <c r="AE378" s="113"/>
    </row>
    <row r="379">
      <c r="A379" s="114">
        <v>5.060517886516E12</v>
      </c>
      <c r="B379" s="104" t="str">
        <f t="shared" si="1"/>
        <v>Munster_Munster Energy Drink Zero Energy</v>
      </c>
      <c r="C379" s="105">
        <v>0.066</v>
      </c>
      <c r="D379" s="105">
        <v>0.168</v>
      </c>
      <c r="E379" s="105">
        <v>0.066</v>
      </c>
      <c r="F379" s="106">
        <f>ROUND('Meta data'!$B$1/E379,0)</f>
        <v>5</v>
      </c>
      <c r="G379" s="107"/>
      <c r="H379" s="105" t="s">
        <v>2836</v>
      </c>
      <c r="I379" s="105" t="str">
        <f>IFERROR(__xludf.DUMMYFUNCTION("GOOGLETRANSLATE(H379,""he"",""en"")"),"Munster")</f>
        <v>Munster</v>
      </c>
      <c r="J379" s="105" t="s">
        <v>2855</v>
      </c>
      <c r="K379" s="105" t="str">
        <f>IFERROR(__xludf.DUMMYFUNCTION("GOOGLETRANSLATE(J379,""he"",""en"")"),"Munster Energy Drink Zero Energy")</f>
        <v>Munster Energy Drink Zero Energy</v>
      </c>
      <c r="L379" s="104" t="s">
        <v>2859</v>
      </c>
      <c r="M379" s="105" t="s">
        <v>6329</v>
      </c>
      <c r="N379" s="108" t="s">
        <v>6334</v>
      </c>
      <c r="O379" s="109"/>
      <c r="P379" s="109"/>
      <c r="Q379" s="111" t="s">
        <v>2858</v>
      </c>
      <c r="R379" s="115"/>
      <c r="S379" s="112"/>
      <c r="T379" s="112"/>
      <c r="U379" s="102"/>
      <c r="V379" s="102"/>
      <c r="W379" s="102"/>
      <c r="X379" s="102"/>
      <c r="Y379" s="102"/>
      <c r="Z379" s="102"/>
      <c r="AA379" s="102"/>
      <c r="AB379" s="102"/>
      <c r="AC379" s="113"/>
      <c r="AD379" s="113"/>
      <c r="AE379" s="113"/>
    </row>
    <row r="380">
      <c r="A380" s="114">
        <v>5.060517886547E12</v>
      </c>
      <c r="B380" s="104" t="str">
        <f t="shared" si="1"/>
        <v>Munster_Energy Drink Energy Rosie Munster</v>
      </c>
      <c r="C380" s="105">
        <v>0.066</v>
      </c>
      <c r="D380" s="105">
        <v>0.168</v>
      </c>
      <c r="E380" s="105">
        <v>0.066</v>
      </c>
      <c r="F380" s="106">
        <f>ROUND('Meta data'!$B$1/E380,0)</f>
        <v>5</v>
      </c>
      <c r="G380" s="107"/>
      <c r="H380" s="105" t="s">
        <v>2836</v>
      </c>
      <c r="I380" s="105" t="str">
        <f>IFERROR(__xludf.DUMMYFUNCTION("GOOGLETRANSLATE(H380,""he"",""en"")"),"Munster")</f>
        <v>Munster</v>
      </c>
      <c r="J380" s="105" t="s">
        <v>2837</v>
      </c>
      <c r="K380" s="105" t="str">
        <f>IFERROR(__xludf.DUMMYFUNCTION("GOOGLETRANSLATE(J380,""he"",""en"")"),"Energy Drink Energy Rosie Munster")</f>
        <v>Energy Drink Energy Rosie Munster</v>
      </c>
      <c r="L380" s="104" t="s">
        <v>2841</v>
      </c>
      <c r="M380" s="105" t="s">
        <v>6329</v>
      </c>
      <c r="N380" s="108" t="s">
        <v>6334</v>
      </c>
      <c r="O380" s="109"/>
      <c r="P380" s="109"/>
      <c r="Q380" s="111" t="s">
        <v>2840</v>
      </c>
      <c r="R380" s="111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13"/>
      <c r="AD380" s="113"/>
      <c r="AE380" s="113"/>
    </row>
    <row r="381">
      <c r="A381" s="114">
        <v>5.060639129102E12</v>
      </c>
      <c r="B381" s="104" t="str">
        <f t="shared" si="1"/>
        <v>Munster_Munster Energy Drink Mango Loco</v>
      </c>
      <c r="C381" s="105">
        <v>0.066</v>
      </c>
      <c r="D381" s="105">
        <v>0.168</v>
      </c>
      <c r="E381" s="105">
        <v>0.066</v>
      </c>
      <c r="F381" s="106">
        <f>ROUND('Meta data'!$B$1/E381,0)</f>
        <v>5</v>
      </c>
      <c r="G381" s="107"/>
      <c r="H381" s="105" t="s">
        <v>2836</v>
      </c>
      <c r="I381" s="105" t="str">
        <f>IFERROR(__xludf.DUMMYFUNCTION("GOOGLETRANSLATE(H381,""he"",""en"")"),"Munster")</f>
        <v>Munster</v>
      </c>
      <c r="J381" s="105" t="s">
        <v>2849</v>
      </c>
      <c r="K381" s="105" t="str">
        <f>IFERROR(__xludf.DUMMYFUNCTION("GOOGLETRANSLATE(J381,""he"",""en"")"),"Munster Energy Drink Mango Loco")</f>
        <v>Munster Energy Drink Mango Loco</v>
      </c>
      <c r="L381" s="104" t="s">
        <v>2853</v>
      </c>
      <c r="M381" s="105" t="s">
        <v>6329</v>
      </c>
      <c r="N381" s="108" t="s">
        <v>6334</v>
      </c>
      <c r="O381" s="109"/>
      <c r="P381" s="109"/>
      <c r="Q381" s="115" t="s">
        <v>2852</v>
      </c>
      <c r="R381" s="116"/>
      <c r="S381" s="118"/>
      <c r="T381" s="117"/>
      <c r="U381" s="102"/>
      <c r="V381" s="102"/>
      <c r="W381" s="102"/>
      <c r="X381" s="102"/>
      <c r="Y381" s="102"/>
      <c r="Z381" s="102"/>
      <c r="AA381" s="102"/>
      <c r="AB381" s="102"/>
      <c r="AC381" s="113"/>
      <c r="AD381" s="113"/>
      <c r="AE381" s="113"/>
    </row>
    <row r="382">
      <c r="A382" s="114">
        <v>7.290008750264E12</v>
      </c>
      <c r="B382" s="104" t="str">
        <f t="shared" si="1"/>
        <v>Must_Cherry Megadim Must LS 28 grams</v>
      </c>
      <c r="C382" s="105">
        <v>0.046</v>
      </c>
      <c r="D382" s="105">
        <v>0.076</v>
      </c>
      <c r="E382" s="105">
        <v>0.02</v>
      </c>
      <c r="F382" s="106">
        <f>ROUND('Meta data'!$B$1/E382,0)</f>
        <v>15</v>
      </c>
      <c r="G382" s="107"/>
      <c r="H382" s="105" t="s">
        <v>2861</v>
      </c>
      <c r="I382" s="119" t="s">
        <v>2862</v>
      </c>
      <c r="J382" s="105" t="s">
        <v>2863</v>
      </c>
      <c r="K382" s="119" t="s">
        <v>6499</v>
      </c>
      <c r="L382" s="104" t="s">
        <v>2867</v>
      </c>
      <c r="M382" s="105" t="s">
        <v>6327</v>
      </c>
      <c r="N382" s="108" t="s">
        <v>6328</v>
      </c>
      <c r="O382" s="109"/>
      <c r="P382" s="109"/>
      <c r="Q382" s="111" t="s">
        <v>2866</v>
      </c>
      <c r="R382" s="115"/>
      <c r="S382" s="11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13"/>
      <c r="AD382" s="113"/>
      <c r="AE382" s="113"/>
    </row>
    <row r="383">
      <c r="A383" s="114">
        <v>7.290104068539E12</v>
      </c>
      <c r="B383" s="104" t="str">
        <f t="shared" si="1"/>
        <v>Must_Chewing gum Must melons and watermelons 28 grams</v>
      </c>
      <c r="C383" s="105">
        <v>0.046</v>
      </c>
      <c r="D383" s="105">
        <v>0.076</v>
      </c>
      <c r="E383" s="105">
        <v>0.02</v>
      </c>
      <c r="F383" s="106">
        <f>ROUND('Meta data'!$B$1/E383,0)</f>
        <v>15</v>
      </c>
      <c r="G383" s="107"/>
      <c r="H383" s="105" t="s">
        <v>2861</v>
      </c>
      <c r="I383" s="119" t="s">
        <v>2862</v>
      </c>
      <c r="J383" s="105" t="s">
        <v>2869</v>
      </c>
      <c r="K383" s="119" t="s">
        <v>6500</v>
      </c>
      <c r="L383" s="104" t="s">
        <v>2873</v>
      </c>
      <c r="M383" s="105" t="s">
        <v>6327</v>
      </c>
      <c r="N383" s="108" t="s">
        <v>6328</v>
      </c>
      <c r="O383" s="109"/>
      <c r="P383" s="109"/>
      <c r="Q383" s="126" t="s">
        <v>2872</v>
      </c>
      <c r="R383" s="101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13"/>
      <c r="AD383" s="113"/>
      <c r="AE383" s="113"/>
    </row>
    <row r="384">
      <c r="A384" s="114">
        <v>7.290008754415E12</v>
      </c>
      <c r="B384" s="104" t="str">
        <f t="shared" si="1"/>
        <v>Must_Must light mint gum</v>
      </c>
      <c r="C384" s="105">
        <v>0.046</v>
      </c>
      <c r="D384" s="105">
        <v>0.076</v>
      </c>
      <c r="E384" s="105">
        <v>0.02</v>
      </c>
      <c r="F384" s="106">
        <f>ROUND('Meta data'!$B$1/E384,0)</f>
        <v>15</v>
      </c>
      <c r="G384" s="107"/>
      <c r="H384" s="105" t="s">
        <v>2861</v>
      </c>
      <c r="I384" s="119" t="s">
        <v>2862</v>
      </c>
      <c r="J384" s="105" t="s">
        <v>2890</v>
      </c>
      <c r="K384" s="119" t="s">
        <v>6501</v>
      </c>
      <c r="L384" s="104" t="s">
        <v>2894</v>
      </c>
      <c r="M384" s="105" t="s">
        <v>6327</v>
      </c>
      <c r="N384" s="108" t="s">
        <v>6328</v>
      </c>
      <c r="O384" s="109"/>
      <c r="P384" s="109"/>
      <c r="Q384" s="111" t="s">
        <v>2893</v>
      </c>
      <c r="R384" s="111"/>
      <c r="S384" s="118"/>
      <c r="T384" s="112"/>
      <c r="U384" s="102"/>
      <c r="V384" s="102"/>
      <c r="W384" s="102"/>
      <c r="X384" s="102"/>
      <c r="Y384" s="102"/>
      <c r="Z384" s="102"/>
      <c r="AA384" s="102"/>
      <c r="AB384" s="102"/>
      <c r="AC384" s="113"/>
      <c r="AD384" s="113"/>
      <c r="AE384" s="113"/>
    </row>
    <row r="385">
      <c r="A385" s="114">
        <v>7.290008754422E12</v>
      </c>
      <c r="B385" s="104" t="str">
        <f t="shared" si="1"/>
        <v>Must_Classic mint chewing gum Must</v>
      </c>
      <c r="C385" s="105">
        <v>0.045</v>
      </c>
      <c r="D385" s="105">
        <v>0.075</v>
      </c>
      <c r="E385" s="105">
        <v>0.02</v>
      </c>
      <c r="F385" s="106">
        <f>ROUND('Meta data'!$B$1/E385,0)</f>
        <v>15</v>
      </c>
      <c r="G385" s="107"/>
      <c r="H385" s="105" t="s">
        <v>2861</v>
      </c>
      <c r="I385" s="119" t="s">
        <v>2862</v>
      </c>
      <c r="J385" s="105" t="s">
        <v>2875</v>
      </c>
      <c r="K385" s="119" t="s">
        <v>6502</v>
      </c>
      <c r="L385" s="104" t="s">
        <v>2879</v>
      </c>
      <c r="M385" s="105" t="s">
        <v>6327</v>
      </c>
      <c r="N385" s="108" t="s">
        <v>6328</v>
      </c>
      <c r="O385" s="109"/>
      <c r="P385" s="109"/>
      <c r="Q385" s="111" t="s">
        <v>2878</v>
      </c>
      <c r="R385" s="111"/>
      <c r="S385" s="118"/>
      <c r="T385" s="112"/>
      <c r="U385" s="102"/>
      <c r="V385" s="102"/>
      <c r="W385" s="102"/>
      <c r="X385" s="102"/>
      <c r="Y385" s="102"/>
      <c r="Z385" s="102"/>
      <c r="AA385" s="102"/>
      <c r="AB385" s="102"/>
      <c r="AC385" s="113"/>
      <c r="AD385" s="113"/>
      <c r="AE385" s="113"/>
    </row>
    <row r="386">
      <c r="A386" s="114">
        <v>7.724511061E10</v>
      </c>
      <c r="B386" s="104" t="str">
        <f t="shared" si="1"/>
        <v>Must_Must candy mint sugar free 80g</v>
      </c>
      <c r="C386" s="105">
        <v>0.12</v>
      </c>
      <c r="D386" s="105">
        <v>0.19</v>
      </c>
      <c r="E386" s="105">
        <v>0.015</v>
      </c>
      <c r="F386" s="106">
        <f>ROUND('Meta data'!$B$1/E386,0)</f>
        <v>20</v>
      </c>
      <c r="G386" s="107"/>
      <c r="H386" s="105" t="s">
        <v>2861</v>
      </c>
      <c r="I386" s="119" t="s">
        <v>2862</v>
      </c>
      <c r="J386" s="105" t="s">
        <v>2883</v>
      </c>
      <c r="K386" s="119" t="s">
        <v>6503</v>
      </c>
      <c r="L386" s="104" t="s">
        <v>2888</v>
      </c>
      <c r="M386" s="105" t="s">
        <v>6391</v>
      </c>
      <c r="N386" s="108" t="s">
        <v>6392</v>
      </c>
      <c r="O386" s="109"/>
      <c r="P386" s="109"/>
      <c r="Q386" s="115" t="s">
        <v>2887</v>
      </c>
      <c r="R386" s="115"/>
      <c r="S386" s="117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13"/>
      <c r="AD386" s="113"/>
      <c r="AE386" s="113"/>
    </row>
    <row r="387">
      <c r="A387" s="114">
        <v>8.69012006017E12</v>
      </c>
      <c r="B387" s="104" t="str">
        <f t="shared" si="1"/>
        <v>Nambr-Wan_Waffle Nambr Wan Market coated milk 35 grams</v>
      </c>
      <c r="C387" s="105">
        <v>0.11</v>
      </c>
      <c r="D387" s="105">
        <v>0.03</v>
      </c>
      <c r="E387" s="105">
        <v>0.02</v>
      </c>
      <c r="F387" s="106">
        <f>ROUND('Meta data'!$B$1/E387,0)</f>
        <v>15</v>
      </c>
      <c r="G387" s="107"/>
      <c r="H387" s="105" t="s">
        <v>3150</v>
      </c>
      <c r="I387" s="105" t="str">
        <f>IFERROR(__xludf.DUMMYFUNCTION("GOOGLETRANSLATE(H387,""he"",""en"")"),"Nambr Wan")</f>
        <v>Nambr Wan</v>
      </c>
      <c r="J387" s="105" t="s">
        <v>3152</v>
      </c>
      <c r="K387" s="105" t="str">
        <f>IFERROR(__xludf.DUMMYFUNCTION("GOOGLETRANSLATE(J387,""he"",""en"")"),"Waffle Nambr Wan Market coated milk 35 grams")</f>
        <v>Waffle Nambr Wan Market coated milk 35 grams</v>
      </c>
      <c r="L387" s="104" t="s">
        <v>3156</v>
      </c>
      <c r="M387" s="105" t="s">
        <v>6302</v>
      </c>
      <c r="N387" s="108" t="s">
        <v>6303</v>
      </c>
      <c r="O387" s="109"/>
      <c r="P387" s="109"/>
      <c r="Q387" s="111" t="s">
        <v>3155</v>
      </c>
      <c r="R387" s="111"/>
      <c r="S387" s="118"/>
      <c r="T387" s="112"/>
      <c r="U387" s="102"/>
      <c r="V387" s="102"/>
      <c r="W387" s="102"/>
      <c r="X387" s="102"/>
      <c r="Y387" s="102"/>
      <c r="Z387" s="102"/>
      <c r="AA387" s="102"/>
      <c r="AB387" s="102"/>
      <c r="AC387" s="113"/>
      <c r="AD387" s="113"/>
      <c r="AE387" s="113"/>
    </row>
    <row r="388">
      <c r="A388" s="114">
        <v>4129118.0</v>
      </c>
      <c r="B388" s="104" t="str">
        <f t="shared" si="1"/>
        <v>Napoleon_Napoleon cup olive 225 g</v>
      </c>
      <c r="C388" s="105">
        <v>0.09</v>
      </c>
      <c r="D388" s="105">
        <v>0.095</v>
      </c>
      <c r="E388" s="105">
        <v>0.065</v>
      </c>
      <c r="F388" s="106">
        <f>ROUND('Meta data'!$B$1/E388,0)</f>
        <v>5</v>
      </c>
      <c r="G388" s="107"/>
      <c r="H388" s="105" t="s">
        <v>2968</v>
      </c>
      <c r="I388" s="105" t="str">
        <f>IFERROR(__xludf.DUMMYFUNCTION("GOOGLETRANSLATE(H388,""he"",""en"")"),"Napoleon")</f>
        <v>Napoleon</v>
      </c>
      <c r="J388" s="105" t="s">
        <v>2970</v>
      </c>
      <c r="K388" s="105" t="str">
        <f>IFERROR(__xludf.DUMMYFUNCTION("GOOGLETRANSLATE(J388,""he"",""en"")"),"Napoleon cup olive 225 g")</f>
        <v>Napoleon cup olive 225 g</v>
      </c>
      <c r="L388" s="104" t="s">
        <v>2976</v>
      </c>
      <c r="M388" s="105" t="s">
        <v>6504</v>
      </c>
      <c r="N388" s="108" t="s">
        <v>6505</v>
      </c>
      <c r="O388" s="109"/>
      <c r="P388" s="109"/>
      <c r="Q388" s="115" t="s">
        <v>2975</v>
      </c>
      <c r="R388" s="116"/>
      <c r="S388" s="117"/>
      <c r="T388" s="117"/>
      <c r="U388" s="118"/>
      <c r="V388" s="102"/>
      <c r="W388" s="102"/>
      <c r="X388" s="102"/>
      <c r="Y388" s="102"/>
      <c r="Z388" s="102"/>
      <c r="AA388" s="102"/>
      <c r="AB388" s="102"/>
      <c r="AC388" s="113"/>
      <c r="AD388" s="113"/>
      <c r="AE388" s="113"/>
    </row>
    <row r="389">
      <c r="A389" s="114">
        <v>4129156.0</v>
      </c>
      <c r="B389" s="104" t="str">
        <f t="shared" si="1"/>
        <v>Napoleon_Napoleon garlic dill 225g Cup</v>
      </c>
      <c r="C389" s="105">
        <v>0.09</v>
      </c>
      <c r="D389" s="105">
        <v>0.095</v>
      </c>
      <c r="E389" s="105">
        <v>0.075</v>
      </c>
      <c r="F389" s="106">
        <f>ROUND('Meta data'!$B$1/E389,0)</f>
        <v>4</v>
      </c>
      <c r="G389" s="107"/>
      <c r="H389" s="105" t="s">
        <v>2968</v>
      </c>
      <c r="I389" s="105" t="str">
        <f>IFERROR(__xludf.DUMMYFUNCTION("GOOGLETRANSLATE(H389,""he"",""en"")"),"Napoleon")</f>
        <v>Napoleon</v>
      </c>
      <c r="J389" s="105" t="s">
        <v>2978</v>
      </c>
      <c r="K389" s="105" t="str">
        <f>IFERROR(__xludf.DUMMYFUNCTION("GOOGLETRANSLATE(J389,""he"",""en"")"),"Napoleon garlic dill 225g Cup")</f>
        <v>Napoleon garlic dill 225g Cup</v>
      </c>
      <c r="L389" s="104" t="s">
        <v>2982</v>
      </c>
      <c r="M389" s="105" t="s">
        <v>6504</v>
      </c>
      <c r="N389" s="108" t="s">
        <v>6505</v>
      </c>
      <c r="O389" s="109"/>
      <c r="P389" s="109"/>
      <c r="Q389" s="115" t="s">
        <v>2981</v>
      </c>
      <c r="R389" s="116"/>
      <c r="S389" s="117"/>
      <c r="T389" s="117"/>
      <c r="U389" s="118"/>
      <c r="V389" s="102"/>
      <c r="W389" s="102"/>
      <c r="X389" s="102"/>
      <c r="Y389" s="102"/>
      <c r="Z389" s="102"/>
      <c r="AA389" s="102"/>
      <c r="AB389" s="102"/>
      <c r="AC389" s="113"/>
      <c r="AD389" s="113"/>
      <c r="AE389" s="113"/>
    </row>
    <row r="390">
      <c r="A390" s="114">
        <v>4129101.0</v>
      </c>
      <c r="B390" s="104" t="str">
        <f t="shared" si="1"/>
        <v>Napoleon_Natural Napoleon cup 225g</v>
      </c>
      <c r="C390" s="105">
        <v>0.09</v>
      </c>
      <c r="D390" s="105">
        <v>0.095</v>
      </c>
      <c r="E390" s="105">
        <v>0.065</v>
      </c>
      <c r="F390" s="106">
        <f>ROUND('Meta data'!$B$1/E390,0)</f>
        <v>5</v>
      </c>
      <c r="G390" s="107"/>
      <c r="H390" s="105" t="s">
        <v>2968</v>
      </c>
      <c r="I390" s="105" t="str">
        <f>IFERROR(__xludf.DUMMYFUNCTION("GOOGLETRANSLATE(H390,""he"",""en"")"),"Napoleon")</f>
        <v>Napoleon</v>
      </c>
      <c r="J390" s="105" t="s">
        <v>2984</v>
      </c>
      <c r="K390" s="105" t="str">
        <f>IFERROR(__xludf.DUMMYFUNCTION("GOOGLETRANSLATE(J390,""he"",""en"")"),"Natural Napoleon cup 225g")</f>
        <v>Natural Napoleon cup 225g</v>
      </c>
      <c r="L390" s="104" t="s">
        <v>2989</v>
      </c>
      <c r="M390" s="105" t="s">
        <v>6504</v>
      </c>
      <c r="N390" s="108" t="s">
        <v>6506</v>
      </c>
      <c r="O390" s="109"/>
      <c r="P390" s="109"/>
      <c r="Q390" s="115" t="s">
        <v>2988</v>
      </c>
      <c r="R390" s="115"/>
      <c r="S390" s="117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13"/>
      <c r="AD390" s="113"/>
      <c r="AE390" s="113"/>
    </row>
    <row r="391">
      <c r="A391" s="114">
        <v>7.290006764478E12</v>
      </c>
      <c r="B391" s="104" t="str">
        <f t="shared" si="1"/>
        <v>Nesher_Eagle malt beer, 330 ml</v>
      </c>
      <c r="C391" s="105">
        <v>0.06</v>
      </c>
      <c r="D391" s="105">
        <v>0.225</v>
      </c>
      <c r="E391" s="105">
        <v>0.02</v>
      </c>
      <c r="F391" s="106">
        <f>ROUND('Meta data'!$B$1/E391,0)</f>
        <v>15</v>
      </c>
      <c r="G391" s="107"/>
      <c r="H391" s="105" t="s">
        <v>2991</v>
      </c>
      <c r="I391" s="105" t="str">
        <f>IFERROR(__xludf.DUMMYFUNCTION("GOOGLETRANSLATE(H391,""he"",""en"")"),"Nesher")</f>
        <v>Nesher</v>
      </c>
      <c r="J391" s="105" t="s">
        <v>2993</v>
      </c>
      <c r="K391" s="105" t="str">
        <f>IFERROR(__xludf.DUMMYFUNCTION("GOOGLETRANSLATE(J391,""he"",""en"")"),"Eagle malt beer, 330 ml")</f>
        <v>Eagle malt beer, 330 ml</v>
      </c>
      <c r="L391" s="104" t="s">
        <v>2999</v>
      </c>
      <c r="M391" s="105" t="s">
        <v>6507</v>
      </c>
      <c r="N391" s="108" t="s">
        <v>6508</v>
      </c>
      <c r="O391" s="109"/>
      <c r="P391" s="109"/>
      <c r="Q391" s="115" t="s">
        <v>2998</v>
      </c>
      <c r="R391" s="116"/>
      <c r="S391" s="118"/>
      <c r="T391" s="117"/>
      <c r="U391" s="102"/>
      <c r="V391" s="102"/>
      <c r="W391" s="102"/>
      <c r="X391" s="102"/>
      <c r="Y391" s="102"/>
      <c r="Z391" s="102"/>
      <c r="AA391" s="102"/>
      <c r="AB391" s="102"/>
      <c r="AC391" s="113"/>
      <c r="AD391" s="113"/>
      <c r="AE391" s="113"/>
    </row>
    <row r="392">
      <c r="A392" s="114">
        <v>7.290010237623E12</v>
      </c>
      <c r="B392" s="104" t="str">
        <f t="shared" si="1"/>
        <v>Nesher_Malt beer without alcohol dropped 1.5 liters</v>
      </c>
      <c r="C392" s="105">
        <v>0.093</v>
      </c>
      <c r="D392" s="105">
        <v>0.33</v>
      </c>
      <c r="E392" s="105">
        <v>0.093</v>
      </c>
      <c r="F392" s="106">
        <f>ROUND('Meta data'!$B$1/E392,0)</f>
        <v>3</v>
      </c>
      <c r="G392" s="107"/>
      <c r="H392" s="105" t="s">
        <v>2991</v>
      </c>
      <c r="I392" s="105" t="str">
        <f>IFERROR(__xludf.DUMMYFUNCTION("GOOGLETRANSLATE(H392,""he"",""en"")"),"Nesher")</f>
        <v>Nesher</v>
      </c>
      <c r="J392" s="105" t="s">
        <v>3001</v>
      </c>
      <c r="K392" s="105" t="str">
        <f>IFERROR(__xludf.DUMMYFUNCTION("GOOGLETRANSLATE(J392,""he"",""en"")"),"Malt beer without alcohol dropped 1.5 liters")</f>
        <v>Malt beer without alcohol dropped 1.5 liters</v>
      </c>
      <c r="L392" s="104" t="s">
        <v>3006</v>
      </c>
      <c r="M392" s="105" t="s">
        <v>6507</v>
      </c>
      <c r="N392" s="108" t="s">
        <v>6509</v>
      </c>
      <c r="O392" s="109"/>
      <c r="P392" s="109"/>
      <c r="Q392" s="115" t="s">
        <v>3005</v>
      </c>
      <c r="R392" s="116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13"/>
      <c r="AD392" s="113"/>
      <c r="AE392" s="113"/>
    </row>
    <row r="393">
      <c r="A393" s="114">
        <v>8.005200486526E12</v>
      </c>
      <c r="B393" s="104" t="str">
        <f t="shared" si="1"/>
        <v>Nestea_Nestea iced tea peach flavored 500 ml</v>
      </c>
      <c r="C393" s="105">
        <v>0.066</v>
      </c>
      <c r="D393" s="105">
        <v>0.215</v>
      </c>
      <c r="E393" s="105">
        <v>0.066</v>
      </c>
      <c r="F393" s="106">
        <f>ROUND('Meta data'!$B$1/E393,0)</f>
        <v>5</v>
      </c>
      <c r="G393" s="107"/>
      <c r="H393" s="105" t="s">
        <v>3018</v>
      </c>
      <c r="I393" s="105" t="str">
        <f>IFERROR(__xludf.DUMMYFUNCTION("GOOGLETRANSLATE(H393,""he"",""en"")"),"Nestea")</f>
        <v>Nestea</v>
      </c>
      <c r="J393" s="105" t="s">
        <v>3026</v>
      </c>
      <c r="K393" s="105" t="str">
        <f>IFERROR(__xludf.DUMMYFUNCTION("GOOGLETRANSLATE(J393,""he"",""en"")"),"Nestea iced tea peach flavored 500 ml")</f>
        <v>Nestea iced tea peach flavored 500 ml</v>
      </c>
      <c r="L393" s="104" t="s">
        <v>3030</v>
      </c>
      <c r="M393" s="105" t="s">
        <v>6316</v>
      </c>
      <c r="N393" s="108" t="s">
        <v>6317</v>
      </c>
      <c r="O393" s="109"/>
      <c r="P393" s="109"/>
      <c r="Q393" s="115" t="s">
        <v>3029</v>
      </c>
      <c r="R393" s="120"/>
      <c r="S393" s="117"/>
      <c r="T393" s="117"/>
      <c r="U393" s="102"/>
      <c r="V393" s="102"/>
      <c r="W393" s="102"/>
      <c r="X393" s="102"/>
      <c r="Y393" s="102"/>
      <c r="Z393" s="102"/>
      <c r="AA393" s="102"/>
      <c r="AB393" s="102"/>
      <c r="AC393" s="113"/>
      <c r="AD393" s="113"/>
      <c r="AE393" s="113"/>
    </row>
    <row r="394">
      <c r="A394" s="114">
        <v>8.005200496525E12</v>
      </c>
      <c r="B394" s="104" t="str">
        <f t="shared" si="1"/>
        <v>Nestea_Nestea - peach flavored iced tea 1.5 liter</v>
      </c>
      <c r="C394" s="105">
        <v>0.08899999</v>
      </c>
      <c r="D394" s="105">
        <v>0.322</v>
      </c>
      <c r="E394" s="105">
        <v>0.08899999</v>
      </c>
      <c r="F394" s="106">
        <f>ROUND('Meta data'!$B$1/E394,0)</f>
        <v>3</v>
      </c>
      <c r="G394" s="107"/>
      <c r="H394" s="105" t="s">
        <v>3018</v>
      </c>
      <c r="I394" s="105" t="str">
        <f>IFERROR(__xludf.DUMMYFUNCTION("GOOGLETRANSLATE(H394,""he"",""en"")"),"Nestea")</f>
        <v>Nestea</v>
      </c>
      <c r="J394" s="105" t="s">
        <v>3020</v>
      </c>
      <c r="K394" s="105" t="str">
        <f>IFERROR(__xludf.DUMMYFUNCTION("GOOGLETRANSLATE(J394,""he"",""en"")"),"Nestea - peach flavored iced tea 1.5 liter")</f>
        <v>Nestea - peach flavored iced tea 1.5 liter</v>
      </c>
      <c r="L394" s="104" t="s">
        <v>3024</v>
      </c>
      <c r="M394" s="105" t="s">
        <v>6316</v>
      </c>
      <c r="N394" s="108" t="s">
        <v>6318</v>
      </c>
      <c r="O394" s="109"/>
      <c r="P394" s="109"/>
      <c r="Q394" s="115" t="s">
        <v>3023</v>
      </c>
      <c r="R394" s="116"/>
      <c r="S394" s="117"/>
      <c r="T394" s="118"/>
      <c r="U394" s="117"/>
      <c r="V394" s="102"/>
      <c r="W394" s="102"/>
      <c r="X394" s="102"/>
      <c r="Y394" s="102"/>
      <c r="Z394" s="102"/>
      <c r="AA394" s="102"/>
      <c r="AB394" s="102"/>
      <c r="AC394" s="113"/>
      <c r="AD394" s="113"/>
      <c r="AE394" s="113"/>
    </row>
    <row r="395">
      <c r="A395" s="114">
        <v>7.290002331025E12</v>
      </c>
      <c r="B395" s="104" t="str">
        <f t="shared" si="1"/>
        <v>Neviot_Water sports springs stopper 500 ml</v>
      </c>
      <c r="C395" s="105">
        <v>0.065</v>
      </c>
      <c r="D395" s="105">
        <v>0.23</v>
      </c>
      <c r="E395" s="105">
        <v>0.065</v>
      </c>
      <c r="F395" s="106">
        <f>ROUND('Meta data'!$B$1/E395,0)</f>
        <v>5</v>
      </c>
      <c r="G395" s="107"/>
      <c r="H395" s="105" t="s">
        <v>3032</v>
      </c>
      <c r="I395" s="119" t="s">
        <v>3033</v>
      </c>
      <c r="J395" s="105" t="s">
        <v>3052</v>
      </c>
      <c r="K395" s="105" t="str">
        <f>IFERROR(__xludf.DUMMYFUNCTION("GOOGLETRANSLATE(J395,""he"",""en"")"),"Water sports springs stopper 500 ml")</f>
        <v>Water sports springs stopper 500 ml</v>
      </c>
      <c r="L395" s="104" t="s">
        <v>3056</v>
      </c>
      <c r="M395" s="105" t="s">
        <v>6314</v>
      </c>
      <c r="N395" s="108" t="s">
        <v>6490</v>
      </c>
      <c r="O395" s="109"/>
      <c r="P395" s="109"/>
      <c r="Q395" s="115" t="s">
        <v>3055</v>
      </c>
      <c r="R395" s="116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13"/>
      <c r="AD395" s="113"/>
      <c r="AE395" s="113"/>
    </row>
    <row r="396">
      <c r="A396" s="114">
        <v>7.290002331018E12</v>
      </c>
      <c r="B396" s="104" t="str">
        <f t="shared" si="1"/>
        <v>Neviot_Regular stopper springs 500 ml</v>
      </c>
      <c r="C396" s="105">
        <v>0.068</v>
      </c>
      <c r="D396" s="105">
        <v>0.2</v>
      </c>
      <c r="E396" s="105">
        <v>0.068</v>
      </c>
      <c r="F396" s="106">
        <f>ROUND('Meta data'!$B$1/E396,0)</f>
        <v>4</v>
      </c>
      <c r="G396" s="107"/>
      <c r="H396" s="105" t="s">
        <v>3032</v>
      </c>
      <c r="I396" s="119" t="s">
        <v>3033</v>
      </c>
      <c r="J396" s="105" t="s">
        <v>3046</v>
      </c>
      <c r="K396" s="105" t="str">
        <f>IFERROR(__xludf.DUMMYFUNCTION("GOOGLETRANSLATE(J396,""he"",""en"")"),"Regular stopper springs 500 ml")</f>
        <v>Regular stopper springs 500 ml</v>
      </c>
      <c r="L396" s="104" t="s">
        <v>3050</v>
      </c>
      <c r="M396" s="105" t="s">
        <v>6314</v>
      </c>
      <c r="N396" s="108" t="s">
        <v>6490</v>
      </c>
      <c r="O396" s="109"/>
      <c r="P396" s="109"/>
      <c r="Q396" s="111" t="s">
        <v>3049</v>
      </c>
      <c r="R396" s="116"/>
      <c r="S396" s="117"/>
      <c r="T396" s="117"/>
      <c r="U396" s="117"/>
      <c r="V396" s="102"/>
      <c r="W396" s="102"/>
      <c r="X396" s="102"/>
      <c r="Y396" s="102"/>
      <c r="Z396" s="102"/>
      <c r="AA396" s="102"/>
      <c r="AB396" s="102"/>
      <c r="AC396" s="113"/>
      <c r="AD396" s="113"/>
      <c r="AE396" s="113"/>
    </row>
    <row r="397">
      <c r="A397" s="114">
        <v>7.290002331162E12</v>
      </c>
      <c r="B397" s="104" t="str">
        <f t="shared" si="1"/>
        <v>Neviot_Mineral water springs 1.5 liters</v>
      </c>
      <c r="C397" s="105">
        <v>0.087</v>
      </c>
      <c r="D397" s="105">
        <v>0.34</v>
      </c>
      <c r="E397" s="105">
        <v>0.085</v>
      </c>
      <c r="F397" s="106">
        <f>ROUND('Meta data'!$B$1/E397,0)</f>
        <v>4</v>
      </c>
      <c r="G397" s="107"/>
      <c r="H397" s="105" t="s">
        <v>3032</v>
      </c>
      <c r="I397" s="119" t="s">
        <v>3033</v>
      </c>
      <c r="J397" s="105" t="s">
        <v>3040</v>
      </c>
      <c r="K397" s="105" t="str">
        <f>IFERROR(__xludf.DUMMYFUNCTION("GOOGLETRANSLATE(J397,""he"",""en"")"),"Mineral water springs 1.5 liters")</f>
        <v>Mineral water springs 1.5 liters</v>
      </c>
      <c r="L397" s="104" t="s">
        <v>3044</v>
      </c>
      <c r="M397" s="105" t="s">
        <v>6314</v>
      </c>
      <c r="N397" s="108" t="s">
        <v>6315</v>
      </c>
      <c r="O397" s="109"/>
      <c r="P397" s="109"/>
      <c r="Q397" s="115" t="s">
        <v>3043</v>
      </c>
      <c r="R397" s="111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13"/>
      <c r="AD397" s="113"/>
      <c r="AE397" s="113"/>
    </row>
    <row r="398">
      <c r="A398" s="114">
        <v>7.29000233149E12</v>
      </c>
      <c r="B398" s="104" t="str">
        <f t="shared" si="1"/>
        <v>Neviot_Mineral springs, 1 liter</v>
      </c>
      <c r="C398" s="105">
        <v>0.0868</v>
      </c>
      <c r="D398" s="105">
        <v>0.244</v>
      </c>
      <c r="E398" s="105">
        <v>0.0868</v>
      </c>
      <c r="F398" s="106">
        <f>ROUND('Meta data'!$B$1/E398,0)</f>
        <v>3</v>
      </c>
      <c r="G398" s="107"/>
      <c r="H398" s="105" t="s">
        <v>3032</v>
      </c>
      <c r="I398" s="119" t="s">
        <v>3033</v>
      </c>
      <c r="J398" s="105" t="s">
        <v>3034</v>
      </c>
      <c r="K398" s="105" t="str">
        <f>IFERROR(__xludf.DUMMYFUNCTION("GOOGLETRANSLATE(J398,""he"",""en"")"),"Mineral springs, 1 liter")</f>
        <v>Mineral springs, 1 liter</v>
      </c>
      <c r="L398" s="104" t="s">
        <v>3038</v>
      </c>
      <c r="M398" s="105" t="s">
        <v>6314</v>
      </c>
      <c r="N398" s="108" t="s">
        <v>6315</v>
      </c>
      <c r="O398" s="109"/>
      <c r="P398" s="109"/>
      <c r="Q398" s="115" t="s">
        <v>3037</v>
      </c>
      <c r="R398" s="116"/>
      <c r="S398" s="117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13"/>
      <c r="AD398" s="113"/>
      <c r="AE398" s="113"/>
    </row>
    <row r="399">
      <c r="A399" s="114">
        <v>7.290002331155E12</v>
      </c>
      <c r="B399" s="104" t="str">
        <f t="shared" si="1"/>
        <v>Neviot-+_Claims peach water, 500 ml</v>
      </c>
      <c r="C399" s="105">
        <v>0.068</v>
      </c>
      <c r="D399" s="105">
        <v>0.2</v>
      </c>
      <c r="E399" s="105">
        <v>0.068</v>
      </c>
      <c r="F399" s="106">
        <f>ROUND('Meta data'!$B$1/E399,0)</f>
        <v>4</v>
      </c>
      <c r="G399" s="107"/>
      <c r="H399" s="105" t="s">
        <v>3058</v>
      </c>
      <c r="I399" s="119" t="s">
        <v>6510</v>
      </c>
      <c r="J399" s="105" t="s">
        <v>3069</v>
      </c>
      <c r="K399" s="105" t="str">
        <f>IFERROR(__xludf.DUMMYFUNCTION("GOOGLETRANSLATE(J399,""he"",""en"")"),"Claims peach water, 500 ml")</f>
        <v>Claims peach water, 500 ml</v>
      </c>
      <c r="L399" s="104" t="s">
        <v>3073</v>
      </c>
      <c r="M399" s="105" t="s">
        <v>6511</v>
      </c>
      <c r="N399" s="108" t="s">
        <v>6512</v>
      </c>
      <c r="O399" s="109"/>
      <c r="P399" s="109"/>
      <c r="Q399" s="115" t="s">
        <v>3072</v>
      </c>
      <c r="R399" s="116"/>
      <c r="S399" s="117"/>
      <c r="T399" s="118"/>
      <c r="U399" s="117"/>
      <c r="V399" s="102"/>
      <c r="W399" s="102"/>
      <c r="X399" s="102"/>
      <c r="Y399" s="102"/>
      <c r="Z399" s="102"/>
      <c r="AA399" s="102"/>
      <c r="AB399" s="102"/>
      <c r="AC399" s="113"/>
      <c r="AD399" s="113"/>
      <c r="AE399" s="113"/>
    </row>
    <row r="400">
      <c r="A400" s="114">
        <v>7.290002331124E12</v>
      </c>
      <c r="B400" s="104" t="str">
        <f t="shared" si="1"/>
        <v>Neviot-+_Apple Flavor springs + 500 ml bottle</v>
      </c>
      <c r="C400" s="105">
        <v>0.068</v>
      </c>
      <c r="D400" s="105">
        <v>0.2</v>
      </c>
      <c r="E400" s="105">
        <v>0.068</v>
      </c>
      <c r="F400" s="106">
        <f>ROUND('Meta data'!$B$1/E400,0)</f>
        <v>4</v>
      </c>
      <c r="G400" s="107"/>
      <c r="H400" s="105" t="s">
        <v>3058</v>
      </c>
      <c r="I400" s="119" t="s">
        <v>6510</v>
      </c>
      <c r="J400" s="105" t="s">
        <v>3061</v>
      </c>
      <c r="K400" s="105" t="str">
        <f>IFERROR(__xludf.DUMMYFUNCTION("GOOGLETRANSLATE(J400,""he"",""en"")"),"Apple Flavor springs + 500 ml bottle")</f>
        <v>Apple Flavor springs + 500 ml bottle</v>
      </c>
      <c r="L400" s="104" t="s">
        <v>3067</v>
      </c>
      <c r="M400" s="105" t="s">
        <v>6511</v>
      </c>
      <c r="N400" s="108" t="s">
        <v>6512</v>
      </c>
      <c r="O400" s="109"/>
      <c r="P400" s="109"/>
      <c r="Q400" s="115" t="s">
        <v>3066</v>
      </c>
      <c r="R400" s="111"/>
      <c r="S400" s="112"/>
      <c r="T400" s="112"/>
      <c r="U400" s="102"/>
      <c r="V400" s="102"/>
      <c r="W400" s="102"/>
      <c r="X400" s="102"/>
      <c r="Y400" s="102"/>
      <c r="Z400" s="102"/>
      <c r="AA400" s="102"/>
      <c r="AB400" s="102"/>
      <c r="AC400" s="113"/>
      <c r="AD400" s="113"/>
      <c r="AE400" s="113"/>
    </row>
    <row r="401">
      <c r="A401" s="114">
        <v>7.290002331711E12</v>
      </c>
      <c r="B401" s="104" t="str">
        <f t="shared" si="1"/>
        <v>Neviot-+_Springs 500 ml grape flavor</v>
      </c>
      <c r="C401" s="105">
        <v>0.068</v>
      </c>
      <c r="D401" s="105">
        <v>0.2</v>
      </c>
      <c r="E401" s="105">
        <v>0.068</v>
      </c>
      <c r="F401" s="106">
        <f>ROUND('Meta data'!$B$1/E401,0)</f>
        <v>4</v>
      </c>
      <c r="G401" s="107"/>
      <c r="H401" s="105" t="s">
        <v>3058</v>
      </c>
      <c r="I401" s="119" t="s">
        <v>6510</v>
      </c>
      <c r="J401" s="105" t="s">
        <v>3107</v>
      </c>
      <c r="K401" s="105" t="str">
        <f>IFERROR(__xludf.DUMMYFUNCTION("GOOGLETRANSLATE(J401,""he"",""en"")"),"Springs 500 ml grape flavor")</f>
        <v>Springs 500 ml grape flavor</v>
      </c>
      <c r="L401" s="104" t="s">
        <v>3111</v>
      </c>
      <c r="M401" s="105" t="s">
        <v>6511</v>
      </c>
      <c r="N401" s="108" t="s">
        <v>6512</v>
      </c>
      <c r="O401" s="109"/>
      <c r="P401" s="109"/>
      <c r="Q401" s="111" t="s">
        <v>3110</v>
      </c>
      <c r="R401" s="115"/>
      <c r="S401" s="11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13"/>
      <c r="AD401" s="113"/>
      <c r="AE401" s="113"/>
    </row>
    <row r="402">
      <c r="A402" s="114">
        <v>7.290015493192E12</v>
      </c>
      <c r="B402" s="104" t="str">
        <f t="shared" si="1"/>
        <v>Neviot-+_Springs + watermelon fruit</v>
      </c>
      <c r="C402" s="105">
        <v>0.068</v>
      </c>
      <c r="D402" s="105">
        <v>0.2</v>
      </c>
      <c r="E402" s="105">
        <v>0.068</v>
      </c>
      <c r="F402" s="106">
        <f>ROUND('Meta data'!$B$1/E402,0)</f>
        <v>4</v>
      </c>
      <c r="G402" s="107"/>
      <c r="H402" s="105" t="s">
        <v>3058</v>
      </c>
      <c r="I402" s="119" t="s">
        <v>6510</v>
      </c>
      <c r="J402" s="105" t="s">
        <v>3101</v>
      </c>
      <c r="K402" s="105" t="str">
        <f>IFERROR(__xludf.DUMMYFUNCTION("GOOGLETRANSLATE(J402,""he"",""en"")"),"Springs + watermelon fruit")</f>
        <v>Springs + watermelon fruit</v>
      </c>
      <c r="L402" s="104" t="s">
        <v>3105</v>
      </c>
      <c r="M402" s="105" t="s">
        <v>6511</v>
      </c>
      <c r="N402" s="108" t="s">
        <v>6512</v>
      </c>
      <c r="O402" s="109"/>
      <c r="P402" s="109"/>
      <c r="Q402" s="111" t="s">
        <v>3104</v>
      </c>
      <c r="R402" s="111"/>
      <c r="S402" s="118"/>
      <c r="T402" s="112"/>
      <c r="U402" s="102"/>
      <c r="V402" s="102"/>
      <c r="W402" s="102"/>
      <c r="X402" s="102"/>
      <c r="Y402" s="102"/>
      <c r="Z402" s="102"/>
      <c r="AA402" s="102"/>
      <c r="AB402" s="102"/>
      <c r="AC402" s="113"/>
      <c r="AD402" s="113"/>
      <c r="AE402" s="113"/>
    </row>
    <row r="403">
      <c r="A403" s="114">
        <v>7.290015493208E12</v>
      </c>
      <c r="B403" s="104" t="str">
        <f t="shared" si="1"/>
        <v>Neviot-+_Springs + pineapple flavored fruit</v>
      </c>
      <c r="C403" s="105">
        <v>0.068</v>
      </c>
      <c r="D403" s="105">
        <v>0.2</v>
      </c>
      <c r="E403" s="105">
        <v>0.068</v>
      </c>
      <c r="F403" s="106">
        <f>ROUND('Meta data'!$B$1/E403,0)</f>
        <v>4</v>
      </c>
      <c r="G403" s="107"/>
      <c r="H403" s="105" t="s">
        <v>3058</v>
      </c>
      <c r="I403" s="119" t="s">
        <v>6510</v>
      </c>
      <c r="J403" s="105" t="s">
        <v>3094</v>
      </c>
      <c r="K403" s="105" t="str">
        <f>IFERROR(__xludf.DUMMYFUNCTION("GOOGLETRANSLATE(J403,""he"",""en"")"),"Springs + pineapple flavored fruit")</f>
        <v>Springs + pineapple flavored fruit</v>
      </c>
      <c r="L403" s="104" t="s">
        <v>3098</v>
      </c>
      <c r="M403" s="105" t="s">
        <v>6511</v>
      </c>
      <c r="N403" s="108" t="s">
        <v>6512</v>
      </c>
      <c r="O403" s="109"/>
      <c r="P403" s="109"/>
      <c r="Q403" s="115" t="s">
        <v>3097</v>
      </c>
      <c r="R403" s="116"/>
      <c r="S403" s="117"/>
      <c r="T403" s="118"/>
      <c r="U403" s="117"/>
      <c r="V403" s="102"/>
      <c r="W403" s="102"/>
      <c r="X403" s="102"/>
      <c r="Y403" s="102"/>
      <c r="Z403" s="102"/>
      <c r="AA403" s="102"/>
      <c r="AB403" s="102"/>
      <c r="AC403" s="113"/>
      <c r="AD403" s="113"/>
      <c r="AE403" s="113"/>
    </row>
    <row r="404">
      <c r="A404" s="114">
        <v>7.290002331179E12</v>
      </c>
      <c r="B404" s="104" t="str">
        <f t="shared" si="1"/>
        <v>Neviot-+_Springs + 1.5 liters of peach flavor</v>
      </c>
      <c r="C404" s="105">
        <v>0.095</v>
      </c>
      <c r="D404" s="105">
        <v>0.3</v>
      </c>
      <c r="E404" s="105">
        <v>0.095</v>
      </c>
      <c r="F404" s="106">
        <f>ROUND('Meta data'!$B$1/E404,0)</f>
        <v>3</v>
      </c>
      <c r="G404" s="107"/>
      <c r="H404" s="105" t="s">
        <v>3058</v>
      </c>
      <c r="I404" s="119" t="s">
        <v>6510</v>
      </c>
      <c r="J404" s="105" t="s">
        <v>3088</v>
      </c>
      <c r="K404" s="105" t="str">
        <f>IFERROR(__xludf.DUMMYFUNCTION("GOOGLETRANSLATE(J404,""he"",""en"")"),"Springs + 1.5 liters of peach flavor")</f>
        <v>Springs + 1.5 liters of peach flavor</v>
      </c>
      <c r="L404" s="104" t="s">
        <v>3092</v>
      </c>
      <c r="M404" s="105" t="s">
        <v>6511</v>
      </c>
      <c r="N404" s="108" t="s">
        <v>6513</v>
      </c>
      <c r="O404" s="109"/>
      <c r="P404" s="109"/>
      <c r="Q404" s="115" t="s">
        <v>3091</v>
      </c>
      <c r="R404" s="116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13"/>
      <c r="AD404" s="113"/>
      <c r="AE404" s="113"/>
    </row>
    <row r="405">
      <c r="A405" s="114">
        <v>7.290002331117E12</v>
      </c>
      <c r="B405" s="104" t="str">
        <f t="shared" si="1"/>
        <v>Neviot-+_Springs + 1.5 liters of grape flavor</v>
      </c>
      <c r="C405" s="105">
        <v>0.095</v>
      </c>
      <c r="D405" s="105">
        <v>0.3</v>
      </c>
      <c r="E405" s="105">
        <v>0.095</v>
      </c>
      <c r="F405" s="106">
        <f>ROUND('Meta data'!$B$1/E405,0)</f>
        <v>3</v>
      </c>
      <c r="G405" s="107"/>
      <c r="H405" s="105" t="s">
        <v>3058</v>
      </c>
      <c r="I405" s="119" t="s">
        <v>6510</v>
      </c>
      <c r="J405" s="105" t="s">
        <v>3082</v>
      </c>
      <c r="K405" s="105" t="str">
        <f>IFERROR(__xludf.DUMMYFUNCTION("GOOGLETRANSLATE(J405,""he"",""en"")"),"Springs + 1.5 liters of grape flavor")</f>
        <v>Springs + 1.5 liters of grape flavor</v>
      </c>
      <c r="L405" s="104" t="s">
        <v>3086</v>
      </c>
      <c r="M405" s="105" t="s">
        <v>6511</v>
      </c>
      <c r="N405" s="108" t="s">
        <v>6513</v>
      </c>
      <c r="O405" s="109"/>
      <c r="P405" s="109"/>
      <c r="Q405" s="115" t="s">
        <v>3085</v>
      </c>
      <c r="R405" s="116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13"/>
      <c r="AD405" s="113"/>
      <c r="AE405" s="113"/>
    </row>
    <row r="406">
      <c r="A406" s="114">
        <v>7.290002331148E12</v>
      </c>
      <c r="B406" s="104" t="str">
        <f t="shared" si="1"/>
        <v>Neviot-+_Springs + 1.5 liters of apple flavor</v>
      </c>
      <c r="C406" s="105">
        <v>0.095</v>
      </c>
      <c r="D406" s="105">
        <v>0.3</v>
      </c>
      <c r="E406" s="105">
        <v>0.095</v>
      </c>
      <c r="F406" s="106">
        <f>ROUND('Meta data'!$B$1/E406,0)</f>
        <v>3</v>
      </c>
      <c r="G406" s="107"/>
      <c r="H406" s="105" t="s">
        <v>3058</v>
      </c>
      <c r="I406" s="119" t="s">
        <v>6510</v>
      </c>
      <c r="J406" s="105" t="s">
        <v>3075</v>
      </c>
      <c r="K406" s="105" t="str">
        <f>IFERROR(__xludf.DUMMYFUNCTION("GOOGLETRANSLATE(J406,""he"",""en"")"),"Springs + 1.5 liters of apple flavor")</f>
        <v>Springs + 1.5 liters of apple flavor</v>
      </c>
      <c r="L406" s="104" t="s">
        <v>3080</v>
      </c>
      <c r="M406" s="105" t="s">
        <v>6511</v>
      </c>
      <c r="N406" s="108" t="s">
        <v>6513</v>
      </c>
      <c r="O406" s="109"/>
      <c r="P406" s="109"/>
      <c r="Q406" s="115" t="s">
        <v>3079</v>
      </c>
      <c r="R406" s="116"/>
      <c r="S406" s="117"/>
      <c r="T406" s="117"/>
      <c r="U406" s="102"/>
      <c r="V406" s="102"/>
      <c r="W406" s="102"/>
      <c r="X406" s="102"/>
      <c r="Y406" s="102"/>
      <c r="Z406" s="102"/>
      <c r="AA406" s="102"/>
      <c r="AB406" s="102"/>
      <c r="AC406" s="113"/>
      <c r="AD406" s="113"/>
      <c r="AE406" s="113"/>
    </row>
    <row r="407">
      <c r="A407" s="114">
        <v>7.290011308858E12</v>
      </c>
      <c r="B407" s="104" t="str">
        <f t="shared" si="1"/>
        <v>Nishnushim_Nishnushim snack baked onion cream</v>
      </c>
      <c r="C407" s="105">
        <v>0.115</v>
      </c>
      <c r="D407" s="105">
        <v>0.16</v>
      </c>
      <c r="E407" s="105">
        <v>0.05</v>
      </c>
      <c r="F407" s="106">
        <f>ROUND('Meta data'!$B$1/E407,0)</f>
        <v>6</v>
      </c>
      <c r="G407" s="107"/>
      <c r="H407" s="105" t="s">
        <v>3113</v>
      </c>
      <c r="I407" s="119" t="s">
        <v>3114</v>
      </c>
      <c r="J407" s="105" t="s">
        <v>3122</v>
      </c>
      <c r="K407" s="119" t="s">
        <v>6514</v>
      </c>
      <c r="L407" s="104" t="s">
        <v>3124</v>
      </c>
      <c r="M407" s="105" t="s">
        <v>6515</v>
      </c>
      <c r="N407" s="108" t="s">
        <v>6516</v>
      </c>
      <c r="O407" s="109"/>
      <c r="P407" s="109"/>
      <c r="Q407" s="111" t="s">
        <v>3125</v>
      </c>
      <c r="R407" s="111"/>
      <c r="S407" s="112"/>
      <c r="T407" s="112"/>
      <c r="U407" s="102"/>
      <c r="V407" s="102"/>
      <c r="W407" s="102"/>
      <c r="X407" s="102"/>
      <c r="Y407" s="102"/>
      <c r="Z407" s="102"/>
      <c r="AA407" s="102"/>
      <c r="AB407" s="102"/>
      <c r="AC407" s="113"/>
      <c r="AD407" s="113"/>
      <c r="AE407" s="113"/>
    </row>
    <row r="408">
      <c r="A408" s="114">
        <v>7.290112497932E12</v>
      </c>
      <c r="B408" s="104" t="str">
        <f t="shared" si="1"/>
        <v>Nishnushim_Onion cream Nishnushim 60g</v>
      </c>
      <c r="C408" s="105">
        <v>0.115</v>
      </c>
      <c r="D408" s="105">
        <v>0.16</v>
      </c>
      <c r="E408" s="105">
        <v>0.06</v>
      </c>
      <c r="F408" s="106">
        <f>ROUND('Meta data'!$B$1/E408,0)</f>
        <v>5</v>
      </c>
      <c r="G408" s="107"/>
      <c r="H408" s="105" t="s">
        <v>3113</v>
      </c>
      <c r="I408" s="119" t="s">
        <v>3114</v>
      </c>
      <c r="J408" s="105" t="s">
        <v>3115</v>
      </c>
      <c r="K408" s="119" t="s">
        <v>6517</v>
      </c>
      <c r="L408" s="104" t="s">
        <v>3117</v>
      </c>
      <c r="M408" s="105" t="s">
        <v>6515</v>
      </c>
      <c r="N408" s="108" t="s">
        <v>6516</v>
      </c>
      <c r="O408" s="109"/>
      <c r="P408" s="109"/>
      <c r="Q408" s="111" t="s">
        <v>3120</v>
      </c>
      <c r="R408" s="111"/>
      <c r="S408" s="118"/>
      <c r="T408" s="112"/>
      <c r="U408" s="102"/>
      <c r="V408" s="102"/>
      <c r="W408" s="102"/>
      <c r="X408" s="102"/>
      <c r="Y408" s="102"/>
      <c r="Z408" s="102"/>
      <c r="AA408" s="102"/>
      <c r="AB408" s="102"/>
      <c r="AC408" s="113"/>
      <c r="AD408" s="113"/>
      <c r="AE408" s="113"/>
    </row>
    <row r="409">
      <c r="A409" s="114">
        <v>7.290106662964E12</v>
      </c>
      <c r="B409" s="104" t="str">
        <f t="shared" si="1"/>
        <v>nostalgia_Rubber nostalgic candies wine 80 grams</v>
      </c>
      <c r="C409" s="105">
        <v>0.09999999</v>
      </c>
      <c r="D409" s="105">
        <v>0.14</v>
      </c>
      <c r="E409" s="105">
        <v>0.015</v>
      </c>
      <c r="F409" s="106">
        <f>ROUND('Meta data'!$B$1/E409,0)</f>
        <v>20</v>
      </c>
      <c r="G409" s="107"/>
      <c r="H409" s="105" t="s">
        <v>3139</v>
      </c>
      <c r="I409" s="105" t="str">
        <f>IFERROR(__xludf.DUMMYFUNCTION("GOOGLETRANSLATE(H409,""he"",""en"")"),"nostalgia")</f>
        <v>nostalgia</v>
      </c>
      <c r="J409" s="105" t="s">
        <v>3141</v>
      </c>
      <c r="K409" s="105" t="str">
        <f>IFERROR(__xludf.DUMMYFUNCTION("GOOGLETRANSLATE(J409,""he"",""en"")"),"Rubber nostalgic candies wine 80 grams")</f>
        <v>Rubber nostalgic candies wine 80 grams</v>
      </c>
      <c r="L409" s="104" t="s">
        <v>3147</v>
      </c>
      <c r="M409" s="105" t="s">
        <v>6518</v>
      </c>
      <c r="N409" s="108" t="s">
        <v>6519</v>
      </c>
      <c r="O409" s="109"/>
      <c r="P409" s="109"/>
      <c r="Q409" s="111" t="s">
        <v>3146</v>
      </c>
      <c r="R409" s="116"/>
      <c r="S409" s="117"/>
      <c r="T409" s="117"/>
      <c r="U409" s="117"/>
      <c r="V409" s="118"/>
      <c r="W409" s="102"/>
      <c r="X409" s="102"/>
      <c r="Y409" s="102"/>
      <c r="Z409" s="102"/>
      <c r="AA409" s="102"/>
      <c r="AB409" s="102"/>
      <c r="AC409" s="113"/>
      <c r="AD409" s="113"/>
      <c r="AE409" s="113"/>
    </row>
    <row r="410">
      <c r="A410" s="114">
        <v>7.290112358011E12</v>
      </c>
      <c r="B410" s="104" t="str">
        <f t="shared" si="1"/>
        <v>Nsikoldh_Bag mini Nsikoldh broken hazelnuts 220 g</v>
      </c>
      <c r="C410" s="105">
        <v>0.18</v>
      </c>
      <c r="D410" s="105">
        <v>0.205</v>
      </c>
      <c r="E410" s="105">
        <v>0.01</v>
      </c>
      <c r="F410" s="106">
        <f>ROUND('Meta data'!$B$1/E410,0)</f>
        <v>30</v>
      </c>
      <c r="G410" s="107"/>
      <c r="H410" s="105" t="s">
        <v>3008</v>
      </c>
      <c r="I410" s="105" t="str">
        <f>IFERROR(__xludf.DUMMYFUNCTION("GOOGLETRANSLATE(H410,""he"",""en"")"),"Nsikoldh")</f>
        <v>Nsikoldh</v>
      </c>
      <c r="J410" s="105" t="s">
        <v>3010</v>
      </c>
      <c r="K410" s="105" t="str">
        <f>IFERROR(__xludf.DUMMYFUNCTION("GOOGLETRANSLATE(J410,""he"",""en"")"),"Bag mini Nsikoldh broken hazelnuts 220 g")</f>
        <v>Bag mini Nsikoldh broken hazelnuts 220 g</v>
      </c>
      <c r="L410" s="104" t="s">
        <v>3015</v>
      </c>
      <c r="M410" s="105" t="s">
        <v>6302</v>
      </c>
      <c r="N410" s="108" t="s">
        <v>6520</v>
      </c>
      <c r="O410" s="109"/>
      <c r="P410" s="109"/>
      <c r="Q410" s="111" t="s">
        <v>3014</v>
      </c>
      <c r="R410" s="115"/>
      <c r="S410" s="112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13"/>
      <c r="AD410" s="113"/>
      <c r="AE410" s="113"/>
    </row>
    <row r="411">
      <c r="A411" s="114">
        <v>8.000500227848E12</v>
      </c>
      <c r="B411" s="104" t="str">
        <f t="shared" si="1"/>
        <v>Nutella_Nutella me 132 grams of a trio roses</v>
      </c>
      <c r="C411" s="105">
        <v>0.132</v>
      </c>
      <c r="D411" s="105">
        <v>0.161</v>
      </c>
      <c r="E411" s="105">
        <v>0.045</v>
      </c>
      <c r="F411" s="106">
        <f>ROUND('Meta data'!$B$1/E411,0)</f>
        <v>7</v>
      </c>
      <c r="G411" s="107"/>
      <c r="H411" s="105" t="s">
        <v>3159</v>
      </c>
      <c r="I411" s="105" t="str">
        <f>IFERROR(__xludf.DUMMYFUNCTION("GOOGLETRANSLATE(H411,""he"",""en"")"),"Nutella")</f>
        <v>Nutella</v>
      </c>
      <c r="J411" s="105" t="s">
        <v>3161</v>
      </c>
      <c r="K411" s="105" t="str">
        <f>IFERROR(__xludf.DUMMYFUNCTION("GOOGLETRANSLATE(J411,""he"",""en"")"),"Nutella me 132 grams of a trio roses")</f>
        <v>Nutella me 132 grams of a trio roses</v>
      </c>
      <c r="L411" s="104" t="s">
        <v>3166</v>
      </c>
      <c r="M411" s="105" t="s">
        <v>6304</v>
      </c>
      <c r="N411" s="108" t="s">
        <v>6521</v>
      </c>
      <c r="O411" s="109"/>
      <c r="P411" s="109"/>
      <c r="Q411" s="115" t="s">
        <v>3165</v>
      </c>
      <c r="R411" s="116"/>
      <c r="S411" s="117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13"/>
      <c r="AD411" s="113"/>
      <c r="AE411" s="113"/>
    </row>
    <row r="412">
      <c r="A412" s="114">
        <v>7.2917329E7</v>
      </c>
      <c r="B412" s="104" t="str">
        <f t="shared" si="1"/>
        <v>Egozy_Egozy- snack nuts coated with milk chocolate</v>
      </c>
      <c r="C412" s="105">
        <v>0.13</v>
      </c>
      <c r="D412" s="105">
        <v>0.035</v>
      </c>
      <c r="E412" s="105">
        <v>0.02</v>
      </c>
      <c r="F412" s="106">
        <f>ROUND('Meta data'!$B$1/E412,0)</f>
        <v>15</v>
      </c>
      <c r="G412" s="107"/>
      <c r="H412" s="105" t="s">
        <v>1156</v>
      </c>
      <c r="I412" s="119" t="s">
        <v>6522</v>
      </c>
      <c r="J412" s="105" t="s">
        <v>1158</v>
      </c>
      <c r="K412" s="119" t="s">
        <v>6523</v>
      </c>
      <c r="L412" s="104" t="s">
        <v>1162</v>
      </c>
      <c r="M412" s="105" t="s">
        <v>6302</v>
      </c>
      <c r="N412" s="108" t="s">
        <v>6303</v>
      </c>
      <c r="O412" s="109"/>
      <c r="P412" s="109"/>
      <c r="Q412" s="111" t="s">
        <v>1161</v>
      </c>
      <c r="R412" s="115"/>
      <c r="S412" s="112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13"/>
      <c r="AD412" s="113"/>
      <c r="AE412" s="113"/>
    </row>
    <row r="413">
      <c r="A413" s="114">
        <v>7.290018194683E12</v>
      </c>
      <c r="B413" s="104" t="str">
        <f t="shared" si="1"/>
        <v>ogale_Butter-flavored biscuits -170 g tin</v>
      </c>
      <c r="C413" s="105">
        <v>0.09</v>
      </c>
      <c r="D413" s="105">
        <v>0.15</v>
      </c>
      <c r="E413" s="105">
        <v>0.09</v>
      </c>
      <c r="F413" s="106">
        <f>ROUND('Meta data'!$B$1/E413,0)</f>
        <v>3</v>
      </c>
      <c r="G413" s="107"/>
      <c r="H413" s="105" t="s">
        <v>4810</v>
      </c>
      <c r="I413" s="119" t="s">
        <v>6524</v>
      </c>
      <c r="J413" s="105" t="s">
        <v>4812</v>
      </c>
      <c r="K413" s="105" t="str">
        <f>IFERROR(__xludf.DUMMYFUNCTION("GOOGLETRANSLATE(J413,""he"",""en"")"),"Butter-flavored biscuits -170 g tin")</f>
        <v>Butter-flavored biscuits -170 g tin</v>
      </c>
      <c r="L413" s="104" t="s">
        <v>4818</v>
      </c>
      <c r="M413" s="105" t="s">
        <v>6525</v>
      </c>
      <c r="N413" s="108" t="s">
        <v>6526</v>
      </c>
      <c r="O413" s="109"/>
      <c r="P413" s="109"/>
      <c r="Q413" s="111" t="s">
        <v>4817</v>
      </c>
      <c r="R413" s="111"/>
      <c r="S413" s="112"/>
      <c r="T413" s="118"/>
      <c r="U413" s="112"/>
      <c r="V413" s="102"/>
      <c r="W413" s="102"/>
      <c r="X413" s="102"/>
      <c r="Y413" s="102"/>
      <c r="Z413" s="102"/>
      <c r="AA413" s="102"/>
      <c r="AB413" s="102"/>
      <c r="AC413" s="113"/>
      <c r="AD413" s="113"/>
      <c r="AE413" s="113"/>
    </row>
    <row r="414">
      <c r="A414" s="114">
        <v>7.622210835338E12</v>
      </c>
      <c r="B414" s="104" t="str">
        <f t="shared" si="1"/>
        <v>Oreo_Oreo Brownie 176 g</v>
      </c>
      <c r="C414" s="105">
        <v>0.192</v>
      </c>
      <c r="D414" s="105">
        <v>0.11</v>
      </c>
      <c r="E414" s="105">
        <v>0.032</v>
      </c>
      <c r="F414" s="106">
        <f>ROUND('Meta data'!$B$1/E414,0)</f>
        <v>9</v>
      </c>
      <c r="G414" s="107"/>
      <c r="H414" s="105" t="s">
        <v>3169</v>
      </c>
      <c r="I414" s="105" t="str">
        <f>IFERROR(__xludf.DUMMYFUNCTION("GOOGLETRANSLATE(H414,""he"",""en"")"),"Oreo")</f>
        <v>Oreo</v>
      </c>
      <c r="J414" s="105" t="s">
        <v>3202</v>
      </c>
      <c r="K414" s="105" t="str">
        <f>IFERROR(__xludf.DUMMYFUNCTION("GOOGLETRANSLATE(J414,""he"",""en"")"),"Oreo Brownie 176 g")</f>
        <v>Oreo Brownie 176 g</v>
      </c>
      <c r="L414" s="104" t="s">
        <v>3206</v>
      </c>
      <c r="M414" s="105" t="s">
        <v>6304</v>
      </c>
      <c r="N414" s="108" t="s">
        <v>6527</v>
      </c>
      <c r="O414" s="109"/>
      <c r="P414" s="109"/>
      <c r="Q414" s="115" t="s">
        <v>3205</v>
      </c>
      <c r="R414" s="111"/>
      <c r="S414" s="117"/>
      <c r="T414" s="117"/>
      <c r="U414" s="117"/>
      <c r="V414" s="117"/>
      <c r="W414" s="102"/>
      <c r="X414" s="102"/>
      <c r="Y414" s="102"/>
      <c r="Z414" s="102"/>
      <c r="AA414" s="102"/>
      <c r="AB414" s="102"/>
      <c r="AC414" s="113"/>
      <c r="AD414" s="113"/>
      <c r="AE414" s="113"/>
    </row>
    <row r="415">
      <c r="A415" s="114">
        <v>7.622210829085E12</v>
      </c>
      <c r="B415" s="104" t="str">
        <f t="shared" si="1"/>
        <v>Oreo_Oreo thin vanilla 96 g</v>
      </c>
      <c r="C415" s="105">
        <v>0.045</v>
      </c>
      <c r="D415" s="105">
        <v>0.195</v>
      </c>
      <c r="E415" s="105">
        <v>0.055</v>
      </c>
      <c r="F415" s="106">
        <f>ROUND('Meta data'!$B$1/E415,0)</f>
        <v>5</v>
      </c>
      <c r="G415" s="107"/>
      <c r="H415" s="105" t="s">
        <v>3169</v>
      </c>
      <c r="I415" s="105" t="str">
        <f>IFERROR(__xludf.DUMMYFUNCTION("GOOGLETRANSLATE(H415,""he"",""en"")"),"Oreo")</f>
        <v>Oreo</v>
      </c>
      <c r="J415" s="105" t="s">
        <v>3226</v>
      </c>
      <c r="K415" s="105" t="str">
        <f>IFERROR(__xludf.DUMMYFUNCTION("GOOGLETRANSLATE(J415,""he"",""en"")"),"Oreo thin vanilla 96 g")</f>
        <v>Oreo thin vanilla 96 g</v>
      </c>
      <c r="L415" s="104" t="s">
        <v>3230</v>
      </c>
      <c r="M415" s="105" t="s">
        <v>6304</v>
      </c>
      <c r="N415" s="108" t="s">
        <v>6527</v>
      </c>
      <c r="O415" s="109"/>
      <c r="P415" s="109"/>
      <c r="Q415" s="111" t="s">
        <v>3229</v>
      </c>
      <c r="R415" s="111"/>
      <c r="S415" s="112"/>
      <c r="T415" s="102"/>
      <c r="U415" s="102"/>
      <c r="V415" s="102"/>
      <c r="W415" s="102"/>
      <c r="X415" s="102"/>
      <c r="Y415" s="102"/>
      <c r="Z415" s="102"/>
      <c r="AA415" s="102"/>
      <c r="AB415" s="102"/>
      <c r="AC415" s="113"/>
      <c r="AD415" s="113"/>
      <c r="AE415" s="113"/>
    </row>
    <row r="416">
      <c r="A416" s="114">
        <v>7.622210874351E12</v>
      </c>
      <c r="B416" s="104" t="str">
        <f t="shared" si="1"/>
        <v>Oreo_Oreo mini-cups vanilla 67 g</v>
      </c>
      <c r="C416" s="105">
        <v>0.09</v>
      </c>
      <c r="D416" s="105">
        <v>0.11</v>
      </c>
      <c r="E416" s="105">
        <v>0.09</v>
      </c>
      <c r="F416" s="106">
        <f>ROUND('Meta data'!$B$1/E416,0)</f>
        <v>3</v>
      </c>
      <c r="G416" s="107"/>
      <c r="H416" s="105" t="s">
        <v>3169</v>
      </c>
      <c r="I416" s="105" t="str">
        <f>IFERROR(__xludf.DUMMYFUNCTION("GOOGLETRANSLATE(H416,""he"",""en"")"),"Oreo")</f>
        <v>Oreo</v>
      </c>
      <c r="J416" s="105" t="s">
        <v>3208</v>
      </c>
      <c r="K416" s="105" t="str">
        <f>IFERROR(__xludf.DUMMYFUNCTION("GOOGLETRANSLATE(J416,""he"",""en"")"),"Oreo mini-cups vanilla 67 g")</f>
        <v>Oreo mini-cups vanilla 67 g</v>
      </c>
      <c r="L416" s="104" t="s">
        <v>3212</v>
      </c>
      <c r="M416" s="105" t="s">
        <v>6304</v>
      </c>
      <c r="N416" s="108" t="s">
        <v>6527</v>
      </c>
      <c r="O416" s="109"/>
      <c r="P416" s="109"/>
      <c r="Q416" s="111" t="s">
        <v>3211</v>
      </c>
      <c r="R416" s="111"/>
      <c r="S416" s="118"/>
      <c r="T416" s="112"/>
      <c r="U416" s="102"/>
      <c r="V416" s="102"/>
      <c r="W416" s="102"/>
      <c r="X416" s="102"/>
      <c r="Y416" s="102"/>
      <c r="Z416" s="102"/>
      <c r="AA416" s="102"/>
      <c r="AB416" s="102"/>
      <c r="AC416" s="113"/>
      <c r="AD416" s="113"/>
      <c r="AE416" s="113"/>
    </row>
    <row r="417">
      <c r="A417" s="114">
        <v>7.622210637994E12</v>
      </c>
      <c r="B417" s="104" t="str">
        <f t="shared" si="1"/>
        <v>Oreo_Bates crunchy Oreo 110 g</v>
      </c>
      <c r="C417" s="105">
        <v>0.14</v>
      </c>
      <c r="D417" s="105">
        <v>0.17</v>
      </c>
      <c r="E417" s="105">
        <v>0.035</v>
      </c>
      <c r="F417" s="106">
        <f>ROUND('Meta data'!$B$1/E417,0)</f>
        <v>9</v>
      </c>
      <c r="G417" s="107"/>
      <c r="H417" s="105" t="s">
        <v>3169</v>
      </c>
      <c r="I417" s="105" t="str">
        <f>IFERROR(__xludf.DUMMYFUNCTION("GOOGLETRANSLATE(H417,""he"",""en"")"),"Oreo")</f>
        <v>Oreo</v>
      </c>
      <c r="J417" s="105" t="s">
        <v>3178</v>
      </c>
      <c r="K417" s="105" t="str">
        <f>IFERROR(__xludf.DUMMYFUNCTION("GOOGLETRANSLATE(J417,""he"",""en"")"),"Bates crunchy Oreo 110 g")</f>
        <v>Bates crunchy Oreo 110 g</v>
      </c>
      <c r="L417" s="104" t="s">
        <v>3182</v>
      </c>
      <c r="M417" s="105" t="s">
        <v>6304</v>
      </c>
      <c r="N417" s="108" t="s">
        <v>6527</v>
      </c>
      <c r="O417" s="109"/>
      <c r="P417" s="109"/>
      <c r="Q417" s="111" t="s">
        <v>3181</v>
      </c>
      <c r="R417" s="111"/>
      <c r="S417" s="11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13"/>
      <c r="AD417" s="113"/>
      <c r="AE417" s="113"/>
    </row>
    <row r="418">
      <c r="A418" s="114">
        <v>7.622210638021E12</v>
      </c>
      <c r="B418" s="104" t="str">
        <f t="shared" si="1"/>
        <v>Oreo_Bates coated crunchy Oreo 110 g</v>
      </c>
      <c r="C418" s="105">
        <v>0.14</v>
      </c>
      <c r="D418" s="105">
        <v>0.17</v>
      </c>
      <c r="E418" s="105">
        <v>0.035</v>
      </c>
      <c r="F418" s="106">
        <f>ROUND('Meta data'!$B$1/E418,0)</f>
        <v>9</v>
      </c>
      <c r="G418" s="107"/>
      <c r="H418" s="105" t="s">
        <v>3169</v>
      </c>
      <c r="I418" s="105" t="str">
        <f>IFERROR(__xludf.DUMMYFUNCTION("GOOGLETRANSLATE(H418,""he"",""en"")"),"Oreo")</f>
        <v>Oreo</v>
      </c>
      <c r="J418" s="105" t="s">
        <v>3172</v>
      </c>
      <c r="K418" s="105" t="str">
        <f>IFERROR(__xludf.DUMMYFUNCTION("GOOGLETRANSLATE(J418,""he"",""en"")"),"Bates coated crunchy Oreo 110 g")</f>
        <v>Bates coated crunchy Oreo 110 g</v>
      </c>
      <c r="L418" s="104" t="s">
        <v>3176</v>
      </c>
      <c r="M418" s="105" t="s">
        <v>6304</v>
      </c>
      <c r="N418" s="108" t="s">
        <v>6527</v>
      </c>
      <c r="O418" s="109"/>
      <c r="P418" s="109"/>
      <c r="Q418" s="115" t="s">
        <v>3175</v>
      </c>
      <c r="R418" s="116"/>
      <c r="S418" s="117"/>
      <c r="T418" s="117"/>
      <c r="U418" s="118"/>
      <c r="V418" s="102"/>
      <c r="W418" s="102"/>
      <c r="X418" s="102"/>
      <c r="Y418" s="102"/>
      <c r="Z418" s="102"/>
      <c r="AA418" s="102"/>
      <c r="AB418" s="102"/>
      <c r="AC418" s="113"/>
      <c r="AD418" s="113"/>
      <c r="AE418" s="113"/>
    </row>
    <row r="419">
      <c r="A419" s="114">
        <v>7.622300761363E12</v>
      </c>
      <c r="B419" s="104" t="str">
        <f t="shared" si="1"/>
        <v>Oreo_Cups mini chocolate Oreo 61.3 g</v>
      </c>
      <c r="C419" s="105">
        <v>0.09</v>
      </c>
      <c r="D419" s="105">
        <v>0.11</v>
      </c>
      <c r="E419" s="105">
        <v>0.09</v>
      </c>
      <c r="F419" s="106">
        <f>ROUND('Meta data'!$B$1/E419,0)</f>
        <v>3</v>
      </c>
      <c r="G419" s="107"/>
      <c r="H419" s="105" t="s">
        <v>3169</v>
      </c>
      <c r="I419" s="105" t="str">
        <f>IFERROR(__xludf.DUMMYFUNCTION("GOOGLETRANSLATE(H419,""he"",""en"")"),"Oreo")</f>
        <v>Oreo</v>
      </c>
      <c r="J419" s="105" t="s">
        <v>3184</v>
      </c>
      <c r="K419" s="105" t="str">
        <f>IFERROR(__xludf.DUMMYFUNCTION("GOOGLETRANSLATE(J419,""he"",""en"")"),"Cups mini chocolate Oreo 61.3 g")</f>
        <v>Cups mini chocolate Oreo 61.3 g</v>
      </c>
      <c r="L419" s="104" t="s">
        <v>3188</v>
      </c>
      <c r="M419" s="105" t="s">
        <v>6304</v>
      </c>
      <c r="N419" s="108" t="s">
        <v>6527</v>
      </c>
      <c r="O419" s="109"/>
      <c r="P419" s="109"/>
      <c r="Q419" s="111" t="s">
        <v>3187</v>
      </c>
      <c r="R419" s="111"/>
      <c r="S419" s="112"/>
      <c r="T419" s="112"/>
      <c r="U419" s="118"/>
      <c r="V419" s="112"/>
      <c r="W419" s="102"/>
      <c r="X419" s="102"/>
      <c r="Y419" s="102"/>
      <c r="Z419" s="102"/>
      <c r="AA419" s="102"/>
      <c r="AB419" s="102"/>
      <c r="AC419" s="113"/>
      <c r="AD419" s="113"/>
      <c r="AE419" s="113"/>
    </row>
    <row r="420">
      <c r="A420" s="114">
        <v>7.622210829108E12</v>
      </c>
      <c r="B420" s="104" t="str">
        <f t="shared" si="1"/>
        <v>Oreo_Oreo minutes 96 grams of chocolate</v>
      </c>
      <c r="C420" s="105">
        <v>0.045</v>
      </c>
      <c r="D420" s="105">
        <v>0.195</v>
      </c>
      <c r="E420" s="105">
        <v>0.055</v>
      </c>
      <c r="F420" s="106">
        <f>ROUND('Meta data'!$B$1/E420,0)</f>
        <v>5</v>
      </c>
      <c r="G420" s="107"/>
      <c r="H420" s="105" t="s">
        <v>3169</v>
      </c>
      <c r="I420" s="105" t="str">
        <f>IFERROR(__xludf.DUMMYFUNCTION("GOOGLETRANSLATE(H420,""he"",""en"")"),"Oreo")</f>
        <v>Oreo</v>
      </c>
      <c r="J420" s="105" t="s">
        <v>3214</v>
      </c>
      <c r="K420" s="105" t="str">
        <f>IFERROR(__xludf.DUMMYFUNCTION("GOOGLETRANSLATE(J420,""he"",""en"")"),"Oreo minutes 96 grams of chocolate")</f>
        <v>Oreo minutes 96 grams of chocolate</v>
      </c>
      <c r="L420" s="104" t="s">
        <v>3218</v>
      </c>
      <c r="M420" s="105" t="s">
        <v>6304</v>
      </c>
      <c r="N420" s="108" t="s">
        <v>6527</v>
      </c>
      <c r="O420" s="109"/>
      <c r="P420" s="109"/>
      <c r="Q420" s="115" t="s">
        <v>3217</v>
      </c>
      <c r="R420" s="116"/>
      <c r="S420" s="118"/>
      <c r="T420" s="117"/>
      <c r="U420" s="102"/>
      <c r="V420" s="102"/>
      <c r="W420" s="102"/>
      <c r="X420" s="102"/>
      <c r="Y420" s="102"/>
      <c r="Z420" s="102"/>
      <c r="AA420" s="102"/>
      <c r="AB420" s="102"/>
      <c r="AC420" s="113"/>
      <c r="AD420" s="113"/>
      <c r="AE420" s="113"/>
    </row>
    <row r="421">
      <c r="A421" s="114">
        <v>7.622010001858E12</v>
      </c>
      <c r="B421" s="104" t="str">
        <f t="shared" si="1"/>
        <v>Oreo_Oreo stuffed with vanilla cream 176 g</v>
      </c>
      <c r="C421" s="105">
        <v>0.192</v>
      </c>
      <c r="D421" s="105">
        <v>0.11</v>
      </c>
      <c r="E421" s="105">
        <v>0.032</v>
      </c>
      <c r="F421" s="106">
        <f>ROUND('Meta data'!$B$1/E421,0)</f>
        <v>9</v>
      </c>
      <c r="G421" s="107"/>
      <c r="H421" s="105" t="s">
        <v>3169</v>
      </c>
      <c r="I421" s="105" t="str">
        <f>IFERROR(__xludf.DUMMYFUNCTION("GOOGLETRANSLATE(H421,""he"",""en"")"),"Oreo")</f>
        <v>Oreo</v>
      </c>
      <c r="J421" s="105" t="s">
        <v>3220</v>
      </c>
      <c r="K421" s="105" t="str">
        <f>IFERROR(__xludf.DUMMYFUNCTION("GOOGLETRANSLATE(J421,""he"",""en"")"),"Oreo stuffed with vanilla cream 176 g")</f>
        <v>Oreo stuffed with vanilla cream 176 g</v>
      </c>
      <c r="L421" s="104" t="s">
        <v>3224</v>
      </c>
      <c r="M421" s="105" t="s">
        <v>6304</v>
      </c>
      <c r="N421" s="108" t="s">
        <v>6527</v>
      </c>
      <c r="O421" s="109"/>
      <c r="P421" s="109"/>
      <c r="Q421" s="115" t="s">
        <v>3223</v>
      </c>
      <c r="R421" s="116"/>
      <c r="S421" s="117"/>
      <c r="T421" s="117"/>
      <c r="U421" s="118"/>
      <c r="V421" s="102"/>
      <c r="W421" s="102"/>
      <c r="X421" s="102"/>
      <c r="Y421" s="102"/>
      <c r="Z421" s="102"/>
      <c r="AA421" s="102"/>
      <c r="AB421" s="102"/>
      <c r="AC421" s="113"/>
      <c r="AD421" s="113"/>
      <c r="AE421" s="113"/>
    </row>
    <row r="422">
      <c r="A422" s="114">
        <v>7.6222014019E12</v>
      </c>
      <c r="B422" s="104" t="str">
        <f t="shared" si="1"/>
        <v>Oreo_Oreo cookies Milka 156 grams Sensation</v>
      </c>
      <c r="C422" s="105">
        <v>0.18</v>
      </c>
      <c r="D422" s="105">
        <v>0.09999999</v>
      </c>
      <c r="E422" s="105">
        <v>0.04</v>
      </c>
      <c r="F422" s="106">
        <f>ROUND('Meta data'!$B$1/E422,0)</f>
        <v>8</v>
      </c>
      <c r="G422" s="107"/>
      <c r="H422" s="105" t="s">
        <v>3169</v>
      </c>
      <c r="I422" s="105" t="str">
        <f>IFERROR(__xludf.DUMMYFUNCTION("GOOGLETRANSLATE(H422,""he"",""en"")"),"Oreo")</f>
        <v>Oreo</v>
      </c>
      <c r="J422" s="105" t="s">
        <v>2736</v>
      </c>
      <c r="K422" s="105" t="str">
        <f>IFERROR(__xludf.DUMMYFUNCTION("GOOGLETRANSLATE(J422,""he"",""en"")"),"Oreo cookies Milka 156 grams Sensation")</f>
        <v>Oreo cookies Milka 156 grams Sensation</v>
      </c>
      <c r="L422" s="104" t="s">
        <v>2741</v>
      </c>
      <c r="M422" s="105" t="s">
        <v>6304</v>
      </c>
      <c r="N422" s="108" t="s">
        <v>6527</v>
      </c>
      <c r="O422" s="109"/>
      <c r="P422" s="109"/>
      <c r="Q422" s="115" t="s">
        <v>2740</v>
      </c>
      <c r="R422" s="116"/>
      <c r="S422" s="117"/>
      <c r="T422" s="117"/>
      <c r="U422" s="117"/>
      <c r="V422" s="102"/>
      <c r="W422" s="102"/>
      <c r="X422" s="102"/>
      <c r="Y422" s="102"/>
      <c r="Z422" s="102"/>
      <c r="AA422" s="102"/>
      <c r="AB422" s="102"/>
      <c r="AC422" s="113"/>
      <c r="AD422" s="113"/>
      <c r="AE422" s="113"/>
    </row>
    <row r="423">
      <c r="A423" s="114">
        <v>7.622201127398E12</v>
      </c>
      <c r="B423" s="104" t="str">
        <f t="shared" si="1"/>
        <v>Oreo_Milka Minis Original urea 153 g</v>
      </c>
      <c r="C423" s="105">
        <v>0.17</v>
      </c>
      <c r="D423" s="105">
        <v>0.2</v>
      </c>
      <c r="E423" s="105">
        <v>0.037</v>
      </c>
      <c r="F423" s="106">
        <f>ROUND('Meta data'!$B$1/E423,0)</f>
        <v>8</v>
      </c>
      <c r="G423" s="107"/>
      <c r="H423" s="105" t="s">
        <v>3169</v>
      </c>
      <c r="I423" s="105" t="str">
        <f>IFERROR(__xludf.DUMMYFUNCTION("GOOGLETRANSLATE(H423,""he"",""en"")"),"Oreo")</f>
        <v>Oreo</v>
      </c>
      <c r="J423" s="105" t="s">
        <v>3190</v>
      </c>
      <c r="K423" s="105" t="str">
        <f>IFERROR(__xludf.DUMMYFUNCTION("GOOGLETRANSLATE(J423,""he"",""en"")"),"Milka Minis Original urea 153 g")</f>
        <v>Milka Minis Original urea 153 g</v>
      </c>
      <c r="L423" s="104" t="s">
        <v>3194</v>
      </c>
      <c r="M423" s="105" t="s">
        <v>6304</v>
      </c>
      <c r="N423" s="108" t="s">
        <v>6488</v>
      </c>
      <c r="O423" s="109"/>
      <c r="P423" s="109"/>
      <c r="Q423" s="115" t="s">
        <v>3193</v>
      </c>
      <c r="R423" s="116"/>
      <c r="S423" s="117"/>
      <c r="T423" s="117"/>
      <c r="U423" s="121"/>
      <c r="V423" s="102"/>
      <c r="W423" s="102"/>
      <c r="X423" s="102"/>
      <c r="Y423" s="102"/>
      <c r="Z423" s="102"/>
      <c r="AA423" s="102"/>
      <c r="AB423" s="102"/>
      <c r="AC423" s="113"/>
      <c r="AD423" s="113"/>
      <c r="AE423" s="113"/>
    </row>
    <row r="424">
      <c r="A424" s="114">
        <v>7.622201127367E12</v>
      </c>
      <c r="B424" s="104" t="str">
        <f t="shared" si="1"/>
        <v>Oreo_Milka Minis white urea 153 g</v>
      </c>
      <c r="C424" s="105">
        <v>0.17</v>
      </c>
      <c r="D424" s="105">
        <v>0.2</v>
      </c>
      <c r="E424" s="105">
        <v>0.037</v>
      </c>
      <c r="F424" s="106">
        <f>ROUND('Meta data'!$B$1/E424,0)</f>
        <v>8</v>
      </c>
      <c r="G424" s="107"/>
      <c r="H424" s="105" t="s">
        <v>3169</v>
      </c>
      <c r="I424" s="105" t="str">
        <f>IFERROR(__xludf.DUMMYFUNCTION("GOOGLETRANSLATE(H424,""he"",""en"")"),"Oreo")</f>
        <v>Oreo</v>
      </c>
      <c r="J424" s="105" t="s">
        <v>3196</v>
      </c>
      <c r="K424" s="105" t="str">
        <f>IFERROR(__xludf.DUMMYFUNCTION("GOOGLETRANSLATE(J424,""he"",""en"")"),"Milka Minis white urea 153 g")</f>
        <v>Milka Minis white urea 153 g</v>
      </c>
      <c r="L424" s="104" t="s">
        <v>3200</v>
      </c>
      <c r="M424" s="105" t="s">
        <v>6304</v>
      </c>
      <c r="N424" s="108" t="s">
        <v>6488</v>
      </c>
      <c r="O424" s="109"/>
      <c r="P424" s="109"/>
      <c r="Q424" s="115" t="s">
        <v>3199</v>
      </c>
      <c r="R424" s="116"/>
      <c r="S424" s="117"/>
      <c r="T424" s="117"/>
      <c r="U424" s="118"/>
      <c r="V424" s="102"/>
      <c r="W424" s="102"/>
      <c r="X424" s="102"/>
      <c r="Y424" s="102"/>
      <c r="Z424" s="102"/>
      <c r="AA424" s="102"/>
      <c r="AB424" s="102"/>
      <c r="AC424" s="113"/>
      <c r="AD424" s="113"/>
      <c r="AE424" s="113"/>
    </row>
    <row r="425">
      <c r="A425" s="114">
        <v>7.622210826053E12</v>
      </c>
      <c r="B425" s="104" t="str">
        <f t="shared" si="1"/>
        <v>Oreo_Milka Oreo Chocolate Sandwich 92 grams</v>
      </c>
      <c r="C425" s="105">
        <v>0.157</v>
      </c>
      <c r="D425" s="105">
        <v>0.077</v>
      </c>
      <c r="E425" s="105">
        <v>0.014</v>
      </c>
      <c r="F425" s="106">
        <f>ROUND('Meta data'!$B$1/E425,0)</f>
        <v>21</v>
      </c>
      <c r="G425" s="107"/>
      <c r="H425" s="105" t="s">
        <v>3169</v>
      </c>
      <c r="I425" s="105" t="str">
        <f>IFERROR(__xludf.DUMMYFUNCTION("GOOGLETRANSLATE(H425,""he"",""en"")"),"Oreo")</f>
        <v>Oreo</v>
      </c>
      <c r="J425" s="105" t="s">
        <v>2723</v>
      </c>
      <c r="K425" s="105" t="str">
        <f>IFERROR(__xludf.DUMMYFUNCTION("GOOGLETRANSLATE(J425,""he"",""en"")"),"Milka Oreo Chocolate Sandwich 92 grams")</f>
        <v>Milka Oreo Chocolate Sandwich 92 grams</v>
      </c>
      <c r="L425" s="104" t="s">
        <v>2728</v>
      </c>
      <c r="M425" s="105" t="s">
        <v>6346</v>
      </c>
      <c r="N425" s="108" t="s">
        <v>6528</v>
      </c>
      <c r="O425" s="109"/>
      <c r="P425" s="109"/>
      <c r="Q425" s="115" t="s">
        <v>2727</v>
      </c>
      <c r="R425" s="116"/>
      <c r="S425" s="117"/>
      <c r="T425" s="117"/>
      <c r="U425" s="117"/>
      <c r="V425" s="102"/>
      <c r="W425" s="102"/>
      <c r="X425" s="102"/>
      <c r="Y425" s="102"/>
      <c r="Z425" s="102"/>
      <c r="AA425" s="102"/>
      <c r="AB425" s="102"/>
      <c r="AC425" s="113"/>
      <c r="AD425" s="113"/>
      <c r="AE425" s="113"/>
    </row>
    <row r="426">
      <c r="A426" s="114">
        <v>7.62230061782E12</v>
      </c>
      <c r="B426" s="104" t="str">
        <f t="shared" si="1"/>
        <v>Oreo_Milka Oreo milk chocolate 100g</v>
      </c>
      <c r="C426" s="105">
        <v>0.15</v>
      </c>
      <c r="D426" s="105">
        <v>0.079</v>
      </c>
      <c r="E426" s="105">
        <v>0.02</v>
      </c>
      <c r="F426" s="106">
        <f>ROUND('Meta data'!$B$1/E426,0)</f>
        <v>15</v>
      </c>
      <c r="G426" s="107"/>
      <c r="H426" s="105" t="s">
        <v>3169</v>
      </c>
      <c r="I426" s="105" t="str">
        <f>IFERROR(__xludf.DUMMYFUNCTION("GOOGLETRANSLATE(H426,""he"",""en"")"),"Oreo")</f>
        <v>Oreo</v>
      </c>
      <c r="J426" s="105" t="s">
        <v>2730</v>
      </c>
      <c r="K426" s="105" t="str">
        <f>IFERROR(__xludf.DUMMYFUNCTION("GOOGLETRANSLATE(J426,""he"",""en"")"),"Milka Oreo milk chocolate 100g")</f>
        <v>Milka Oreo milk chocolate 100g</v>
      </c>
      <c r="L426" s="104" t="s">
        <v>2734</v>
      </c>
      <c r="M426" s="105" t="s">
        <v>6346</v>
      </c>
      <c r="N426" s="108" t="s">
        <v>6348</v>
      </c>
      <c r="O426" s="109"/>
      <c r="P426" s="109"/>
      <c r="Q426" s="115" t="s">
        <v>2733</v>
      </c>
      <c r="R426" s="116"/>
      <c r="S426" s="117"/>
      <c r="T426" s="117"/>
      <c r="U426" s="117"/>
      <c r="V426" s="102"/>
      <c r="W426" s="102"/>
      <c r="X426" s="102"/>
      <c r="Y426" s="102"/>
      <c r="Z426" s="102"/>
      <c r="AA426" s="102"/>
      <c r="AB426" s="102"/>
      <c r="AC426" s="113"/>
      <c r="AD426" s="113"/>
      <c r="AE426" s="113"/>
    </row>
    <row r="427">
      <c r="A427" s="114">
        <v>7.290008775816E12</v>
      </c>
      <c r="B427" s="104" t="str">
        <f t="shared" si="1"/>
        <v>Osem_300g chocolate cookie finally</v>
      </c>
      <c r="C427" s="105">
        <v>0.13</v>
      </c>
      <c r="D427" s="105">
        <v>0.19</v>
      </c>
      <c r="E427" s="105">
        <v>0.055</v>
      </c>
      <c r="F427" s="106">
        <f>ROUND('Meta data'!$B$1/E427,0)</f>
        <v>5</v>
      </c>
      <c r="G427" s="107"/>
      <c r="H427" s="105" t="s">
        <v>3232</v>
      </c>
      <c r="I427" s="119" t="s">
        <v>3233</v>
      </c>
      <c r="J427" s="105" t="s">
        <v>3234</v>
      </c>
      <c r="K427" s="105" t="str">
        <f>IFERROR(__xludf.DUMMYFUNCTION("GOOGLETRANSLATE(J427,""he"",""en"")"),"300g chocolate cookie finally")</f>
        <v>300g chocolate cookie finally</v>
      </c>
      <c r="L427" s="104" t="s">
        <v>3238</v>
      </c>
      <c r="M427" s="105" t="s">
        <v>6304</v>
      </c>
      <c r="N427" s="108" t="s">
        <v>6521</v>
      </c>
      <c r="O427" s="109"/>
      <c r="P427" s="109"/>
      <c r="Q427" s="115" t="s">
        <v>3237</v>
      </c>
      <c r="R427" s="116"/>
      <c r="S427" s="117"/>
      <c r="T427" s="118"/>
      <c r="U427" s="117"/>
      <c r="V427" s="118"/>
      <c r="W427" s="102"/>
      <c r="X427" s="102"/>
      <c r="Y427" s="102"/>
      <c r="Z427" s="102"/>
      <c r="AA427" s="102"/>
      <c r="AB427" s="102"/>
      <c r="AC427" s="113"/>
      <c r="AD427" s="113"/>
      <c r="AE427" s="113"/>
    </row>
    <row r="428">
      <c r="A428" s="114">
        <v>7.290008775823E12</v>
      </c>
      <c r="B428" s="104" t="str">
        <f t="shared" si="1"/>
        <v>Osem_A cookie finally Strawberry 300g</v>
      </c>
      <c r="C428" s="105">
        <v>0.13</v>
      </c>
      <c r="D428" s="105">
        <v>0.19</v>
      </c>
      <c r="E428" s="105">
        <v>0.055</v>
      </c>
      <c r="F428" s="106">
        <f>ROUND('Meta data'!$B$1/E428,0)</f>
        <v>5</v>
      </c>
      <c r="G428" s="107"/>
      <c r="H428" s="105" t="s">
        <v>3232</v>
      </c>
      <c r="I428" s="119" t="s">
        <v>3233</v>
      </c>
      <c r="J428" s="105" t="s">
        <v>3240</v>
      </c>
      <c r="K428" s="105" t="str">
        <f>IFERROR(__xludf.DUMMYFUNCTION("GOOGLETRANSLATE(J428,""he"",""en"")"),"A cookie finally Strawberry 300g")</f>
        <v>A cookie finally Strawberry 300g</v>
      </c>
      <c r="L428" s="104" t="s">
        <v>3244</v>
      </c>
      <c r="M428" s="105" t="s">
        <v>6304</v>
      </c>
      <c r="N428" s="108" t="s">
        <v>6521</v>
      </c>
      <c r="O428" s="109"/>
      <c r="P428" s="109"/>
      <c r="Q428" s="111" t="s">
        <v>3243</v>
      </c>
      <c r="R428" s="116"/>
      <c r="S428" s="117"/>
      <c r="T428" s="117"/>
      <c r="U428" s="117"/>
      <c r="V428" s="117"/>
      <c r="W428" s="102"/>
      <c r="X428" s="102"/>
      <c r="Y428" s="102"/>
      <c r="Z428" s="102"/>
      <c r="AA428" s="102"/>
      <c r="AB428" s="102"/>
      <c r="AC428" s="113"/>
      <c r="AD428" s="113"/>
      <c r="AE428" s="113"/>
    </row>
    <row r="429">
      <c r="A429" s="114">
        <v>7.290000077017E12</v>
      </c>
      <c r="B429" s="104" t="str">
        <f t="shared" si="1"/>
        <v>Osem_Krmogit stuffed with chocolate 200.00 g</v>
      </c>
      <c r="C429" s="105">
        <v>0.25</v>
      </c>
      <c r="D429" s="105">
        <v>0.05</v>
      </c>
      <c r="E429" s="105">
        <v>0.06</v>
      </c>
      <c r="F429" s="106">
        <f>ROUND('Meta data'!$B$1/E429,0)</f>
        <v>5</v>
      </c>
      <c r="G429" s="107"/>
      <c r="H429" s="105" t="s">
        <v>3232</v>
      </c>
      <c r="I429" s="119" t="s">
        <v>3233</v>
      </c>
      <c r="J429" s="105" t="s">
        <v>3246</v>
      </c>
      <c r="K429" s="105" t="str">
        <f>IFERROR(__xludf.DUMMYFUNCTION("GOOGLETRANSLATE(J429,""he"",""en"")"),"Krmogit stuffed with chocolate 200.00 g")</f>
        <v>Krmogit stuffed with chocolate 200.00 g</v>
      </c>
      <c r="L429" s="104" t="s">
        <v>3250</v>
      </c>
      <c r="M429" s="105" t="s">
        <v>6304</v>
      </c>
      <c r="N429" s="108" t="s">
        <v>6521</v>
      </c>
      <c r="O429" s="109"/>
      <c r="P429" s="109"/>
      <c r="Q429" s="115" t="s">
        <v>3249</v>
      </c>
      <c r="R429" s="116"/>
      <c r="S429" s="117"/>
      <c r="T429" s="117"/>
      <c r="U429" s="102"/>
      <c r="V429" s="102"/>
      <c r="W429" s="102"/>
      <c r="X429" s="102"/>
      <c r="Y429" s="102"/>
      <c r="Z429" s="102"/>
      <c r="AA429" s="102"/>
      <c r="AB429" s="102"/>
      <c r="AC429" s="113"/>
      <c r="AD429" s="113"/>
      <c r="AE429" s="113"/>
    </row>
    <row r="430">
      <c r="A430" s="114">
        <v>7.290000074962E12</v>
      </c>
      <c r="B430" s="104" t="str">
        <f t="shared" si="1"/>
        <v>Osem_Cok. Mini Sokotz'ifs 225 g</v>
      </c>
      <c r="C430" s="105">
        <v>0.13</v>
      </c>
      <c r="D430" s="105">
        <v>0.18</v>
      </c>
      <c r="E430" s="105">
        <v>0.065</v>
      </c>
      <c r="F430" s="106">
        <f>ROUND('Meta data'!$B$1/E430,0)</f>
        <v>5</v>
      </c>
      <c r="G430" s="107"/>
      <c r="H430" s="105" t="s">
        <v>3232</v>
      </c>
      <c r="I430" s="119" t="s">
        <v>3233</v>
      </c>
      <c r="J430" s="105" t="s">
        <v>3252</v>
      </c>
      <c r="K430" s="119" t="s">
        <v>6529</v>
      </c>
      <c r="L430" s="104" t="s">
        <v>3256</v>
      </c>
      <c r="M430" s="105" t="s">
        <v>6304</v>
      </c>
      <c r="N430" s="108" t="s">
        <v>6488</v>
      </c>
      <c r="O430" s="109"/>
      <c r="P430" s="109"/>
      <c r="Q430" s="115" t="s">
        <v>3255</v>
      </c>
      <c r="R430" s="116"/>
      <c r="S430" s="117"/>
      <c r="T430" s="117"/>
      <c r="U430" s="102"/>
      <c r="V430" s="102"/>
      <c r="W430" s="102"/>
      <c r="X430" s="102"/>
      <c r="Y430" s="102"/>
      <c r="Z430" s="102"/>
      <c r="AA430" s="102"/>
      <c r="AB430" s="102"/>
      <c r="AC430" s="113"/>
      <c r="AD430" s="113"/>
      <c r="AE430" s="113"/>
    </row>
    <row r="431">
      <c r="A431" s="114">
        <v>7.290000075143E12</v>
      </c>
      <c r="B431" s="104" t="str">
        <f t="shared" si="1"/>
        <v>Osem_cok. Sokotz'ifs Classic 200g</v>
      </c>
      <c r="C431" s="105">
        <v>0.285</v>
      </c>
      <c r="D431" s="105">
        <v>0.08</v>
      </c>
      <c r="E431" s="105">
        <v>0.05</v>
      </c>
      <c r="F431" s="106">
        <f>ROUND('Meta data'!$B$1/E431,0)</f>
        <v>6</v>
      </c>
      <c r="G431" s="107"/>
      <c r="H431" s="105" t="s">
        <v>3232</v>
      </c>
      <c r="I431" s="119" t="s">
        <v>3233</v>
      </c>
      <c r="J431" s="105" t="s">
        <v>3258</v>
      </c>
      <c r="K431" s="119" t="s">
        <v>6530</v>
      </c>
      <c r="L431" s="104" t="s">
        <v>3262</v>
      </c>
      <c r="M431" s="105" t="s">
        <v>6304</v>
      </c>
      <c r="N431" s="108" t="s">
        <v>6488</v>
      </c>
      <c r="O431" s="109"/>
      <c r="P431" s="109"/>
      <c r="Q431" s="115" t="s">
        <v>3261</v>
      </c>
      <c r="R431" s="116"/>
      <c r="S431" s="117"/>
      <c r="T431" s="117"/>
      <c r="U431" s="118"/>
      <c r="V431" s="102"/>
      <c r="W431" s="102"/>
      <c r="X431" s="102"/>
      <c r="Y431" s="102"/>
      <c r="Z431" s="102"/>
      <c r="AA431" s="102"/>
      <c r="AB431" s="102"/>
      <c r="AC431" s="113"/>
      <c r="AD431" s="113"/>
      <c r="AE431" s="113"/>
    </row>
    <row r="432">
      <c r="A432" s="114">
        <v>63133.0</v>
      </c>
      <c r="B432" s="104" t="str">
        <f t="shared" si="1"/>
        <v>Osem_Osem crackers natural components 24 * 100 g</v>
      </c>
      <c r="C432" s="105">
        <v>0.065</v>
      </c>
      <c r="D432" s="105">
        <v>0.16</v>
      </c>
      <c r="E432" s="105">
        <v>0.02</v>
      </c>
      <c r="F432" s="106">
        <f>ROUND('Meta data'!$B$1/E432,0)</f>
        <v>15</v>
      </c>
      <c r="G432" s="107"/>
      <c r="H432" s="105" t="s">
        <v>3232</v>
      </c>
      <c r="I432" s="119" t="s">
        <v>3233</v>
      </c>
      <c r="J432" s="105" t="s">
        <v>3264</v>
      </c>
      <c r="K432" s="105" t="str">
        <f>IFERROR(__xludf.DUMMYFUNCTION("GOOGLETRANSLATE(J432,""he"",""en"")"),"Osem crackers natural components 24 * 100 g")</f>
        <v>Osem crackers natural components 24 * 100 g</v>
      </c>
      <c r="L432" s="104" t="s">
        <v>3270</v>
      </c>
      <c r="M432" s="105" t="s">
        <v>6531</v>
      </c>
      <c r="N432" s="108" t="s">
        <v>6532</v>
      </c>
      <c r="O432" s="109"/>
      <c r="P432" s="109"/>
      <c r="Q432" s="115" t="s">
        <v>3269</v>
      </c>
      <c r="R432" s="116"/>
      <c r="S432" s="118"/>
      <c r="T432" s="117"/>
      <c r="U432" s="102"/>
      <c r="V432" s="102"/>
      <c r="W432" s="102"/>
      <c r="X432" s="102"/>
      <c r="Y432" s="102"/>
      <c r="Z432" s="102"/>
      <c r="AA432" s="102"/>
      <c r="AB432" s="102"/>
      <c r="AC432" s="113"/>
      <c r="AD432" s="113"/>
      <c r="AE432" s="113"/>
    </row>
    <row r="433">
      <c r="A433" s="114">
        <v>7.290011018443E12</v>
      </c>
      <c r="B433" s="104" t="str">
        <f t="shared" si="1"/>
        <v>Fanta_Fanta Orange can</v>
      </c>
      <c r="C433" s="105">
        <v>0.057</v>
      </c>
      <c r="D433" s="105">
        <v>0.14</v>
      </c>
      <c r="E433" s="105">
        <v>0.057</v>
      </c>
      <c r="F433" s="106">
        <f>ROUND('Meta data'!$B$1/E433,0)</f>
        <v>5</v>
      </c>
      <c r="G433" s="107"/>
      <c r="H433" s="105" t="s">
        <v>1345</v>
      </c>
      <c r="I433" s="119" t="s">
        <v>1346</v>
      </c>
      <c r="J433" s="105" t="s">
        <v>1369</v>
      </c>
      <c r="K433" s="105" t="str">
        <f>IFERROR(__xludf.DUMMYFUNCTION("GOOGLETRANSLATE(J433,""he"",""en"")"),"Fanta Orange can")</f>
        <v>Fanta Orange can</v>
      </c>
      <c r="L433" s="104" t="s">
        <v>1373</v>
      </c>
      <c r="M433" s="105" t="s">
        <v>6496</v>
      </c>
      <c r="N433" s="108" t="s">
        <v>6497</v>
      </c>
      <c r="O433" s="109"/>
      <c r="P433" s="109"/>
      <c r="Q433" s="115" t="s">
        <v>1372</v>
      </c>
      <c r="R433" s="116"/>
      <c r="S433" s="117"/>
      <c r="T433" s="117"/>
      <c r="U433" s="117"/>
      <c r="V433" s="117"/>
      <c r="W433" s="102"/>
      <c r="X433" s="102"/>
      <c r="Y433" s="102"/>
      <c r="Z433" s="102"/>
      <c r="AA433" s="102"/>
      <c r="AB433" s="102"/>
      <c r="AC433" s="113"/>
      <c r="AD433" s="113"/>
      <c r="AE433" s="113"/>
    </row>
    <row r="434">
      <c r="A434" s="114">
        <v>7.290005605895E12</v>
      </c>
      <c r="B434" s="104" t="str">
        <f t="shared" si="1"/>
        <v>Fanta_Fanta Exotic, 500 ml</v>
      </c>
      <c r="C434" s="105">
        <v>0.065</v>
      </c>
      <c r="D434" s="105">
        <v>0.24</v>
      </c>
      <c r="E434" s="105">
        <v>0.065</v>
      </c>
      <c r="F434" s="106">
        <f>ROUND('Meta data'!$B$1/E434,0)</f>
        <v>5</v>
      </c>
      <c r="G434" s="107"/>
      <c r="H434" s="105" t="s">
        <v>1345</v>
      </c>
      <c r="I434" s="119" t="s">
        <v>1346</v>
      </c>
      <c r="J434" s="105" t="s">
        <v>1356</v>
      </c>
      <c r="K434" s="105" t="str">
        <f>IFERROR(__xludf.DUMMYFUNCTION("GOOGLETRANSLATE(J434,""he"",""en"")"),"Fanta Exotic, 500 ml")</f>
        <v>Fanta Exotic, 500 ml</v>
      </c>
      <c r="L434" s="104" t="s">
        <v>1361</v>
      </c>
      <c r="M434" s="105" t="s">
        <v>6496</v>
      </c>
      <c r="N434" s="108" t="s">
        <v>6497</v>
      </c>
      <c r="O434" s="109"/>
      <c r="P434" s="109"/>
      <c r="Q434" s="115" t="s">
        <v>1360</v>
      </c>
      <c r="R434" s="116"/>
      <c r="S434" s="117"/>
      <c r="T434" s="118"/>
      <c r="U434" s="117"/>
      <c r="V434" s="102"/>
      <c r="W434" s="102"/>
      <c r="X434" s="102"/>
      <c r="Y434" s="102"/>
      <c r="Z434" s="102"/>
      <c r="AA434" s="102"/>
      <c r="AB434" s="102"/>
      <c r="AC434" s="113"/>
      <c r="AD434" s="113"/>
      <c r="AE434" s="113"/>
    </row>
    <row r="435">
      <c r="A435" s="114">
        <v>7.290001594179E12</v>
      </c>
      <c r="B435" s="104" t="str">
        <f t="shared" si="1"/>
        <v>Fanta_Fanta Orange 500ml</v>
      </c>
      <c r="C435" s="105">
        <v>0.065</v>
      </c>
      <c r="D435" s="105">
        <v>0.24</v>
      </c>
      <c r="E435" s="105">
        <v>0.065</v>
      </c>
      <c r="F435" s="106">
        <f>ROUND('Meta data'!$B$1/E435,0)</f>
        <v>5</v>
      </c>
      <c r="G435" s="107"/>
      <c r="H435" s="105" t="s">
        <v>1345</v>
      </c>
      <c r="I435" s="119" t="s">
        <v>1346</v>
      </c>
      <c r="J435" s="105" t="s">
        <v>1363</v>
      </c>
      <c r="K435" s="105" t="str">
        <f>IFERROR(__xludf.DUMMYFUNCTION("GOOGLETRANSLATE(J435,""he"",""en"")"),"Fanta Orange 500ml")</f>
        <v>Fanta Orange 500ml</v>
      </c>
      <c r="L435" s="104" t="s">
        <v>1367</v>
      </c>
      <c r="M435" s="105" t="s">
        <v>6496</v>
      </c>
      <c r="N435" s="108" t="s">
        <v>6497</v>
      </c>
      <c r="O435" s="109"/>
      <c r="P435" s="109"/>
      <c r="Q435" s="115" t="s">
        <v>1366</v>
      </c>
      <c r="R435" s="116"/>
      <c r="S435" s="117"/>
      <c r="T435" s="118"/>
      <c r="U435" s="117"/>
      <c r="V435" s="102"/>
      <c r="W435" s="102"/>
      <c r="X435" s="102"/>
      <c r="Y435" s="102"/>
      <c r="Z435" s="102"/>
      <c r="AA435" s="102"/>
      <c r="AB435" s="102"/>
      <c r="AC435" s="113"/>
      <c r="AD435" s="113"/>
      <c r="AE435" s="113"/>
    </row>
    <row r="436">
      <c r="A436" s="114">
        <v>7.290003667109E12</v>
      </c>
      <c r="B436" s="104" t="str">
        <f t="shared" si="1"/>
        <v>Fanta_Fanta Orange, 1.5 Liter</v>
      </c>
      <c r="C436" s="105">
        <v>0.095</v>
      </c>
      <c r="D436" s="105">
        <v>0.333</v>
      </c>
      <c r="E436" s="105">
        <v>0.095</v>
      </c>
      <c r="F436" s="106">
        <f>ROUND('Meta data'!$B$1/E436,0)</f>
        <v>3</v>
      </c>
      <c r="G436" s="107"/>
      <c r="H436" s="105" t="s">
        <v>1345</v>
      </c>
      <c r="I436" s="119" t="s">
        <v>1346</v>
      </c>
      <c r="J436" s="105" t="s">
        <v>1375</v>
      </c>
      <c r="K436" s="105" t="str">
        <f>IFERROR(__xludf.DUMMYFUNCTION("GOOGLETRANSLATE(J436,""he"",""en"")"),"Fanta Orange, 1.5 Liter")</f>
        <v>Fanta Orange, 1.5 Liter</v>
      </c>
      <c r="L436" s="104" t="s">
        <v>1379</v>
      </c>
      <c r="M436" s="105" t="s">
        <v>6496</v>
      </c>
      <c r="N436" s="108" t="s">
        <v>6498</v>
      </c>
      <c r="O436" s="109"/>
      <c r="P436" s="109"/>
      <c r="Q436" s="115" t="s">
        <v>1378</v>
      </c>
      <c r="R436" s="116"/>
      <c r="S436" s="117"/>
      <c r="T436" s="118"/>
      <c r="U436" s="117"/>
      <c r="V436" s="102"/>
      <c r="W436" s="102"/>
      <c r="X436" s="102"/>
      <c r="Y436" s="102"/>
      <c r="Z436" s="102"/>
      <c r="AA436" s="102"/>
      <c r="AB436" s="102"/>
      <c r="AC436" s="113"/>
      <c r="AD436" s="113"/>
      <c r="AE436" s="113"/>
    </row>
    <row r="437">
      <c r="A437" s="114">
        <v>7.290005605901E12</v>
      </c>
      <c r="B437" s="104" t="str">
        <f t="shared" si="1"/>
        <v>Fanta_Fanta Exotic, 1.5 liter</v>
      </c>
      <c r="C437" s="105">
        <v>0.095</v>
      </c>
      <c r="D437" s="105">
        <v>0.333</v>
      </c>
      <c r="E437" s="105">
        <v>0.095</v>
      </c>
      <c r="F437" s="106">
        <f>ROUND('Meta data'!$B$1/E437,0)</f>
        <v>3</v>
      </c>
      <c r="G437" s="107"/>
      <c r="H437" s="105" t="s">
        <v>1345</v>
      </c>
      <c r="I437" s="119" t="s">
        <v>1346</v>
      </c>
      <c r="J437" s="105" t="s">
        <v>1348</v>
      </c>
      <c r="K437" s="105" t="str">
        <f>IFERROR(__xludf.DUMMYFUNCTION("GOOGLETRANSLATE(J437,""he"",""en"")"),"Fanta Exotic, 1.5 liter")</f>
        <v>Fanta Exotic, 1.5 liter</v>
      </c>
      <c r="L437" s="104" t="s">
        <v>1354</v>
      </c>
      <c r="M437" s="105" t="s">
        <v>6496</v>
      </c>
      <c r="N437" s="108" t="s">
        <v>6498</v>
      </c>
      <c r="O437" s="109"/>
      <c r="P437" s="109"/>
      <c r="Q437" s="115" t="s">
        <v>1353</v>
      </c>
      <c r="R437" s="116"/>
      <c r="S437" s="118"/>
      <c r="T437" s="117"/>
      <c r="U437" s="102"/>
      <c r="V437" s="102"/>
      <c r="W437" s="102"/>
      <c r="X437" s="102"/>
      <c r="Y437" s="102"/>
      <c r="Z437" s="102"/>
      <c r="AA437" s="102"/>
      <c r="AB437" s="102"/>
      <c r="AC437" s="113"/>
      <c r="AD437" s="113"/>
      <c r="AE437" s="113"/>
    </row>
    <row r="438">
      <c r="A438" s="114">
        <v>7.290112492357E12</v>
      </c>
      <c r="B438" s="104" t="str">
        <f t="shared" si="1"/>
        <v>Patit_Patit corn chips minutes with buckwheat and Chia</v>
      </c>
      <c r="C438" s="105">
        <v>0.09999999</v>
      </c>
      <c r="D438" s="105">
        <v>0.09</v>
      </c>
      <c r="E438" s="105">
        <v>0.09999999</v>
      </c>
      <c r="F438" s="106">
        <f>ROUND('Meta data'!$B$1/E438,0)</f>
        <v>3</v>
      </c>
      <c r="G438" s="107"/>
      <c r="H438" s="105" t="s">
        <v>5241</v>
      </c>
      <c r="I438" s="119" t="s">
        <v>3274</v>
      </c>
      <c r="J438" s="105" t="s">
        <v>3284</v>
      </c>
      <c r="K438" s="119" t="s">
        <v>6533</v>
      </c>
      <c r="L438" s="104" t="s">
        <v>3289</v>
      </c>
      <c r="M438" s="105" t="s">
        <v>6371</v>
      </c>
      <c r="N438" s="108" t="s">
        <v>6534</v>
      </c>
      <c r="O438" s="109"/>
      <c r="P438" s="109"/>
      <c r="Q438" s="111" t="s">
        <v>3288</v>
      </c>
      <c r="R438" s="111"/>
      <c r="S438" s="112"/>
      <c r="T438" s="112"/>
      <c r="U438" s="118"/>
      <c r="V438" s="102"/>
      <c r="W438" s="102"/>
      <c r="X438" s="102"/>
      <c r="Y438" s="102"/>
      <c r="Z438" s="102"/>
      <c r="AA438" s="102"/>
      <c r="AB438" s="102"/>
      <c r="AC438" s="113"/>
      <c r="AD438" s="113"/>
      <c r="AE438" s="113"/>
    </row>
    <row r="439">
      <c r="A439" s="114">
        <v>7.290112492258E12</v>
      </c>
      <c r="B439" s="104" t="str">
        <f t="shared" si="1"/>
        <v>Patit_Patit corn chips minutes with full corn</v>
      </c>
      <c r="C439" s="105">
        <v>0.09999999</v>
      </c>
      <c r="D439" s="105">
        <v>0.09</v>
      </c>
      <c r="E439" s="105">
        <v>0.09999999</v>
      </c>
      <c r="F439" s="106">
        <f>ROUND('Meta data'!$B$1/E439,0)</f>
        <v>3</v>
      </c>
      <c r="G439" s="107"/>
      <c r="H439" s="105" t="s">
        <v>5241</v>
      </c>
      <c r="I439" s="119" t="s">
        <v>3274</v>
      </c>
      <c r="J439" s="105" t="s">
        <v>3292</v>
      </c>
      <c r="K439" s="119" t="s">
        <v>6535</v>
      </c>
      <c r="L439" s="104" t="s">
        <v>3297</v>
      </c>
      <c r="M439" s="105" t="s">
        <v>6371</v>
      </c>
      <c r="N439" s="108" t="s">
        <v>6536</v>
      </c>
      <c r="O439" s="109"/>
      <c r="P439" s="109"/>
      <c r="Q439" s="111" t="s">
        <v>3296</v>
      </c>
      <c r="R439" s="111"/>
      <c r="S439" s="118"/>
      <c r="T439" s="112"/>
      <c r="U439" s="102"/>
      <c r="V439" s="102"/>
      <c r="W439" s="102"/>
      <c r="X439" s="102"/>
      <c r="Y439" s="102"/>
      <c r="Z439" s="102"/>
      <c r="AA439" s="102"/>
      <c r="AB439" s="102"/>
      <c r="AC439" s="113"/>
      <c r="AD439" s="113"/>
      <c r="AE439" s="113"/>
    </row>
    <row r="440">
      <c r="A440" s="114">
        <v>7.290112496287E12</v>
      </c>
      <c r="B440" s="104" t="str">
        <f t="shared" si="1"/>
        <v>Patit_Potato chips flavored Patit natural</v>
      </c>
      <c r="C440" s="105">
        <v>0.09999999</v>
      </c>
      <c r="D440" s="105">
        <v>0.14</v>
      </c>
      <c r="E440" s="105">
        <v>0.045</v>
      </c>
      <c r="F440" s="106">
        <f>ROUND('Meta data'!$B$1/E440,0)</f>
        <v>7</v>
      </c>
      <c r="G440" s="107"/>
      <c r="H440" s="105" t="s">
        <v>5241</v>
      </c>
      <c r="I440" s="119" t="s">
        <v>3274</v>
      </c>
      <c r="J440" s="105" t="s">
        <v>3311</v>
      </c>
      <c r="K440" s="119" t="s">
        <v>6537</v>
      </c>
      <c r="L440" s="104" t="s">
        <v>3315</v>
      </c>
      <c r="M440" s="105" t="s">
        <v>6371</v>
      </c>
      <c r="N440" s="108" t="s">
        <v>6538</v>
      </c>
      <c r="O440" s="109"/>
      <c r="P440" s="109"/>
      <c r="Q440" s="111" t="s">
        <v>3314</v>
      </c>
      <c r="R440" s="111"/>
      <c r="S440" s="118"/>
      <c r="T440" s="112"/>
      <c r="U440" s="102"/>
      <c r="V440" s="102"/>
      <c r="W440" s="102"/>
      <c r="X440" s="102"/>
      <c r="Y440" s="102"/>
      <c r="Z440" s="102"/>
      <c r="AA440" s="102"/>
      <c r="AB440" s="102"/>
      <c r="AC440" s="113"/>
      <c r="AD440" s="113"/>
      <c r="AE440" s="113"/>
    </row>
    <row r="441">
      <c r="A441" s="114">
        <v>7.290112496294E12</v>
      </c>
      <c r="B441" s="104" t="str">
        <f t="shared" si="1"/>
        <v>Patit_Patit chips with green peas and yellow 22 grams</v>
      </c>
      <c r="C441" s="105">
        <v>0.09999999</v>
      </c>
      <c r="D441" s="105">
        <v>0.14</v>
      </c>
      <c r="E441" s="105">
        <v>0.045</v>
      </c>
      <c r="F441" s="106">
        <f>ROUND('Meta data'!$B$1/E441,0)</f>
        <v>7</v>
      </c>
      <c r="G441" s="107"/>
      <c r="H441" s="105" t="s">
        <v>5241</v>
      </c>
      <c r="I441" s="119" t="s">
        <v>3274</v>
      </c>
      <c r="J441" s="105" t="s">
        <v>3276</v>
      </c>
      <c r="K441" s="119" t="s">
        <v>6539</v>
      </c>
      <c r="L441" s="104" t="s">
        <v>3281</v>
      </c>
      <c r="M441" s="105" t="s">
        <v>6371</v>
      </c>
      <c r="N441" s="108" t="s">
        <v>6538</v>
      </c>
      <c r="O441" s="109"/>
      <c r="P441" s="109"/>
      <c r="Q441" s="111" t="s">
        <v>3280</v>
      </c>
      <c r="R441" s="111"/>
      <c r="S441" s="112"/>
      <c r="T441" s="112"/>
      <c r="U441" s="118"/>
      <c r="V441" s="102"/>
      <c r="W441" s="102"/>
      <c r="X441" s="102"/>
      <c r="Y441" s="102"/>
      <c r="Z441" s="102"/>
      <c r="AA441" s="102"/>
      <c r="AB441" s="102"/>
      <c r="AC441" s="113"/>
      <c r="AD441" s="113"/>
      <c r="AE441" s="113"/>
    </row>
    <row r="442">
      <c r="A442" s="114">
        <v>7.29011249627E12</v>
      </c>
      <c r="B442" s="104" t="str">
        <f t="shared" si="1"/>
        <v>Patit_Patit potato chips with tomato 22 grams</v>
      </c>
      <c r="C442" s="105">
        <v>0.09999999</v>
      </c>
      <c r="D442" s="105">
        <v>0.14</v>
      </c>
      <c r="E442" s="105">
        <v>0.045</v>
      </c>
      <c r="F442" s="106">
        <f>ROUND('Meta data'!$B$1/E442,0)</f>
        <v>7</v>
      </c>
      <c r="G442" s="107"/>
      <c r="H442" s="105" t="s">
        <v>5241</v>
      </c>
      <c r="I442" s="119" t="s">
        <v>3274</v>
      </c>
      <c r="J442" s="105" t="s">
        <v>3305</v>
      </c>
      <c r="K442" s="119" t="s">
        <v>6540</v>
      </c>
      <c r="L442" s="104" t="s">
        <v>3309</v>
      </c>
      <c r="M442" s="105" t="s">
        <v>6371</v>
      </c>
      <c r="N442" s="108" t="s">
        <v>6538</v>
      </c>
      <c r="O442" s="109"/>
      <c r="P442" s="109"/>
      <c r="Q442" s="115" t="s">
        <v>3308</v>
      </c>
      <c r="R442" s="116"/>
      <c r="S442" s="117"/>
      <c r="T442" s="117"/>
      <c r="U442" s="102"/>
      <c r="V442" s="102"/>
      <c r="W442" s="102"/>
      <c r="X442" s="102"/>
      <c r="Y442" s="102"/>
      <c r="Z442" s="102"/>
      <c r="AA442" s="102"/>
      <c r="AB442" s="102"/>
      <c r="AC442" s="113"/>
      <c r="AD442" s="113"/>
      <c r="AE442" s="113"/>
    </row>
    <row r="443">
      <c r="A443" s="114">
        <v>7.290112495976E12</v>
      </c>
      <c r="B443" s="104" t="str">
        <f t="shared" si="1"/>
        <v>Patit_Patit milk chocolate coated cakes excellent</v>
      </c>
      <c r="C443" s="105">
        <v>0.09999999</v>
      </c>
      <c r="D443" s="105">
        <v>0.09999999</v>
      </c>
      <c r="E443" s="105">
        <v>0.07</v>
      </c>
      <c r="F443" s="106">
        <f>ROUND('Meta data'!$B$1/E443,0)</f>
        <v>4</v>
      </c>
      <c r="G443" s="107"/>
      <c r="H443" s="105" t="s">
        <v>5241</v>
      </c>
      <c r="I443" s="119" t="s">
        <v>3274</v>
      </c>
      <c r="J443" s="105" t="s">
        <v>3299</v>
      </c>
      <c r="K443" s="119" t="s">
        <v>6541</v>
      </c>
      <c r="L443" s="104" t="s">
        <v>3303</v>
      </c>
      <c r="M443" s="105" t="s">
        <v>6371</v>
      </c>
      <c r="N443" s="108" t="s">
        <v>6402</v>
      </c>
      <c r="O443" s="109"/>
      <c r="P443" s="109"/>
      <c r="Q443" s="115" t="s">
        <v>3302</v>
      </c>
      <c r="R443" s="115"/>
      <c r="S443" s="117"/>
      <c r="T443" s="117"/>
      <c r="U443" s="124"/>
      <c r="V443" s="117"/>
      <c r="W443" s="102"/>
      <c r="X443" s="102"/>
      <c r="Y443" s="102"/>
      <c r="Z443" s="102"/>
      <c r="AA443" s="102"/>
      <c r="AB443" s="102"/>
      <c r="AC443" s="113"/>
      <c r="AD443" s="113"/>
      <c r="AE443" s="113"/>
    </row>
    <row r="444">
      <c r="A444" s="114">
        <v>9.044400841E12</v>
      </c>
      <c r="B444" s="104" t="str">
        <f t="shared" si="1"/>
        <v>Pez_Pez candy fruit flavor packed -sugar</v>
      </c>
      <c r="C444" s="105">
        <v>0.08</v>
      </c>
      <c r="D444" s="105">
        <v>0.22</v>
      </c>
      <c r="E444" s="105">
        <v>0.05</v>
      </c>
      <c r="F444" s="106">
        <f>ROUND('Meta data'!$B$1/E444,0)</f>
        <v>6</v>
      </c>
      <c r="G444" s="107"/>
      <c r="H444" s="105" t="s">
        <v>3455</v>
      </c>
      <c r="I444" s="119" t="s">
        <v>3456</v>
      </c>
      <c r="J444" s="105" t="s">
        <v>3457</v>
      </c>
      <c r="K444" s="105" t="str">
        <f>IFERROR(__xludf.DUMMYFUNCTION("GOOGLETRANSLATE(J444,""he"",""en"")"),"Pez candy fruit flavor packed -sugar")</f>
        <v>Pez candy fruit flavor packed -sugar</v>
      </c>
      <c r="L444" s="104" t="s">
        <v>3463</v>
      </c>
      <c r="M444" s="105" t="s">
        <v>6542</v>
      </c>
      <c r="N444" s="108" t="s">
        <v>6543</v>
      </c>
      <c r="O444" s="109"/>
      <c r="P444" s="109"/>
      <c r="Q444" s="115" t="s">
        <v>3462</v>
      </c>
      <c r="R444" s="116"/>
      <c r="S444" s="118"/>
      <c r="T444" s="117"/>
      <c r="U444" s="117"/>
      <c r="V444" s="102"/>
      <c r="W444" s="102"/>
      <c r="X444" s="102"/>
      <c r="Y444" s="102"/>
      <c r="Z444" s="102"/>
      <c r="AA444" s="102"/>
      <c r="AB444" s="102"/>
      <c r="AC444" s="113"/>
      <c r="AD444" s="113"/>
      <c r="AE444" s="113"/>
    </row>
    <row r="445">
      <c r="A445" s="114">
        <v>7.290010237548E12</v>
      </c>
      <c r="B445" s="104" t="str">
        <f t="shared" si="1"/>
        <v>Pepsi_Pepsi Max bottle of 500 ml</v>
      </c>
      <c r="C445" s="105">
        <v>0.065</v>
      </c>
      <c r="D445" s="105">
        <v>0.24</v>
      </c>
      <c r="E445" s="105">
        <v>0.065</v>
      </c>
      <c r="F445" s="106">
        <f>ROUND('Meta data'!$B$1/E445,0)</f>
        <v>5</v>
      </c>
      <c r="G445" s="107"/>
      <c r="H445" s="105" t="s">
        <v>3325</v>
      </c>
      <c r="I445" s="105" t="str">
        <f>IFERROR(__xludf.DUMMYFUNCTION("GOOGLETRANSLATE(H445,""he"",""en"")"),"Pepsi")</f>
        <v>Pepsi</v>
      </c>
      <c r="J445" s="105" t="s">
        <v>3351</v>
      </c>
      <c r="K445" s="105" t="str">
        <f>IFERROR(__xludf.DUMMYFUNCTION("GOOGLETRANSLATE(J445,""he"",""en"")"),"Pepsi Max bottle of 500 ml")</f>
        <v>Pepsi Max bottle of 500 ml</v>
      </c>
      <c r="L445" s="104" t="s">
        <v>3355</v>
      </c>
      <c r="M445" s="105" t="s">
        <v>6356</v>
      </c>
      <c r="N445" s="108" t="s">
        <v>6357</v>
      </c>
      <c r="O445" s="109"/>
      <c r="P445" s="109"/>
      <c r="Q445" s="111" t="s">
        <v>3354</v>
      </c>
      <c r="R445" s="111"/>
      <c r="S445" s="112"/>
      <c r="T445" s="112"/>
      <c r="U445" s="102"/>
      <c r="V445" s="102"/>
      <c r="W445" s="102"/>
      <c r="X445" s="102"/>
      <c r="Y445" s="102"/>
      <c r="Z445" s="102"/>
      <c r="AA445" s="102"/>
      <c r="AB445" s="102"/>
      <c r="AC445" s="113"/>
      <c r="AD445" s="113"/>
      <c r="AE445" s="113"/>
    </row>
    <row r="446">
      <c r="A446" s="114">
        <v>7.290000135175E12</v>
      </c>
      <c r="B446" s="104" t="str">
        <f t="shared" si="1"/>
        <v>Pepsi_Lime can of Pepsi Max, 330 ml</v>
      </c>
      <c r="C446" s="105">
        <v>0.057</v>
      </c>
      <c r="D446" s="105">
        <v>0.14</v>
      </c>
      <c r="E446" s="105">
        <v>0.057</v>
      </c>
      <c r="F446" s="106">
        <f>ROUND('Meta data'!$B$1/E446,0)</f>
        <v>5</v>
      </c>
      <c r="G446" s="107"/>
      <c r="H446" s="105" t="s">
        <v>3325</v>
      </c>
      <c r="I446" s="105" t="str">
        <f>IFERROR(__xludf.DUMMYFUNCTION("GOOGLETRANSLATE(H446,""he"",""en"")"),"Pepsi")</f>
        <v>Pepsi</v>
      </c>
      <c r="J446" s="105" t="s">
        <v>3339</v>
      </c>
      <c r="K446" s="105" t="str">
        <f>IFERROR(__xludf.DUMMYFUNCTION("GOOGLETRANSLATE(J446,""he"",""en"")"),"Lime can of Pepsi Max, 330 ml")</f>
        <v>Lime can of Pepsi Max, 330 ml</v>
      </c>
      <c r="L446" s="104" t="s">
        <v>3343</v>
      </c>
      <c r="M446" s="105" t="s">
        <v>6356</v>
      </c>
      <c r="N446" s="108" t="s">
        <v>6357</v>
      </c>
      <c r="O446" s="109"/>
      <c r="P446" s="109"/>
      <c r="Q446" s="111" t="s">
        <v>3342</v>
      </c>
      <c r="R446" s="111"/>
      <c r="S446" s="112"/>
      <c r="T446" s="118"/>
      <c r="U446" s="112"/>
      <c r="V446" s="102"/>
      <c r="W446" s="102"/>
      <c r="X446" s="102"/>
      <c r="Y446" s="102"/>
      <c r="Z446" s="102"/>
      <c r="AA446" s="102"/>
      <c r="AB446" s="102"/>
      <c r="AC446" s="113"/>
      <c r="AD446" s="113"/>
      <c r="AE446" s="113"/>
    </row>
    <row r="447">
      <c r="A447" s="114">
        <v>7.290008464406E12</v>
      </c>
      <c r="B447" s="104" t="str">
        <f t="shared" si="1"/>
        <v>Pepsi_Pepsi Max can of 330 ml</v>
      </c>
      <c r="C447" s="105">
        <v>0.057</v>
      </c>
      <c r="D447" s="105">
        <v>0.14</v>
      </c>
      <c r="E447" s="105">
        <v>0.057</v>
      </c>
      <c r="F447" s="106">
        <f>ROUND('Meta data'!$B$1/E447,0)</f>
        <v>5</v>
      </c>
      <c r="G447" s="107"/>
      <c r="H447" s="105" t="s">
        <v>3325</v>
      </c>
      <c r="I447" s="105" t="str">
        <f>IFERROR(__xludf.DUMMYFUNCTION("GOOGLETRANSLATE(H447,""he"",""en"")"),"Pepsi")</f>
        <v>Pepsi</v>
      </c>
      <c r="J447" s="105" t="s">
        <v>3357</v>
      </c>
      <c r="K447" s="105" t="str">
        <f>IFERROR(__xludf.DUMMYFUNCTION("GOOGLETRANSLATE(J447,""he"",""en"")"),"Pepsi Max can of 330 ml")</f>
        <v>Pepsi Max can of 330 ml</v>
      </c>
      <c r="L447" s="104" t="s">
        <v>3361</v>
      </c>
      <c r="M447" s="105" t="s">
        <v>6356</v>
      </c>
      <c r="N447" s="108" t="s">
        <v>6357</v>
      </c>
      <c r="O447" s="109"/>
      <c r="P447" s="109"/>
      <c r="Q447" s="111" t="s">
        <v>3360</v>
      </c>
      <c r="R447" s="115"/>
      <c r="S447" s="112"/>
      <c r="T447" s="102"/>
      <c r="U447" s="102"/>
      <c r="V447" s="102"/>
      <c r="W447" s="102"/>
      <c r="X447" s="102"/>
      <c r="Y447" s="102"/>
      <c r="Z447" s="102"/>
      <c r="AA447" s="102"/>
      <c r="AB447" s="102"/>
      <c r="AC447" s="113"/>
      <c r="AD447" s="113"/>
      <c r="AE447" s="113"/>
    </row>
    <row r="448">
      <c r="A448" s="114">
        <v>7.290000433974E12</v>
      </c>
      <c r="B448" s="104" t="str">
        <f t="shared" si="1"/>
        <v>Pepsi_1.5-liter Pepsi Max</v>
      </c>
      <c r="C448" s="105">
        <v>0.08</v>
      </c>
      <c r="D448" s="105">
        <v>0.33</v>
      </c>
      <c r="E448" s="105">
        <v>0.08</v>
      </c>
      <c r="F448" s="106">
        <f>ROUND('Meta data'!$B$1/E448,0)</f>
        <v>4</v>
      </c>
      <c r="G448" s="107"/>
      <c r="H448" s="105" t="s">
        <v>3325</v>
      </c>
      <c r="I448" s="105" t="str">
        <f>IFERROR(__xludf.DUMMYFUNCTION("GOOGLETRANSLATE(H448,""he"",""en"")"),"Pepsi")</f>
        <v>Pepsi</v>
      </c>
      <c r="J448" s="105" t="s">
        <v>3327</v>
      </c>
      <c r="K448" s="105" t="str">
        <f>IFERROR(__xludf.DUMMYFUNCTION("GOOGLETRANSLATE(J448,""he"",""en"")"),"1.5-liter Pepsi Max")</f>
        <v>1.5-liter Pepsi Max</v>
      </c>
      <c r="L448" s="104" t="s">
        <v>3331</v>
      </c>
      <c r="M448" s="105" t="s">
        <v>6356</v>
      </c>
      <c r="N448" s="108" t="s">
        <v>6358</v>
      </c>
      <c r="O448" s="109"/>
      <c r="P448" s="109"/>
      <c r="Q448" s="111" t="s">
        <v>3330</v>
      </c>
      <c r="R448" s="111"/>
      <c r="S448" s="112"/>
      <c r="T448" s="118"/>
      <c r="U448" s="112"/>
      <c r="V448" s="102"/>
      <c r="W448" s="102"/>
      <c r="X448" s="102"/>
      <c r="Y448" s="102"/>
      <c r="Z448" s="102"/>
      <c r="AA448" s="102"/>
      <c r="AB448" s="102"/>
      <c r="AC448" s="113"/>
      <c r="AD448" s="113"/>
      <c r="AE448" s="113"/>
    </row>
    <row r="449">
      <c r="A449" s="114">
        <v>7.290000433684E12</v>
      </c>
      <c r="B449" s="104" t="str">
        <f t="shared" si="1"/>
        <v>Pepsi_Pepsi 1.5 liters</v>
      </c>
      <c r="C449" s="105">
        <v>0.08</v>
      </c>
      <c r="D449" s="105">
        <v>0.33</v>
      </c>
      <c r="E449" s="105">
        <v>0.08</v>
      </c>
      <c r="F449" s="106">
        <f>ROUND('Meta data'!$B$1/E449,0)</f>
        <v>4</v>
      </c>
      <c r="G449" s="107"/>
      <c r="H449" s="105" t="s">
        <v>3325</v>
      </c>
      <c r="I449" s="105" t="str">
        <f>IFERROR(__xludf.DUMMYFUNCTION("GOOGLETRANSLATE(H449,""he"",""en"")"),"Pepsi")</f>
        <v>Pepsi</v>
      </c>
      <c r="J449" s="105" t="s">
        <v>3345</v>
      </c>
      <c r="K449" s="105" t="str">
        <f>IFERROR(__xludf.DUMMYFUNCTION("GOOGLETRANSLATE(J449,""he"",""en"")"),"Pepsi 1.5 liters")</f>
        <v>Pepsi 1.5 liters</v>
      </c>
      <c r="L449" s="104" t="s">
        <v>3349</v>
      </c>
      <c r="M449" s="105" t="s">
        <v>6359</v>
      </c>
      <c r="N449" s="108" t="s">
        <v>6358</v>
      </c>
      <c r="O449" s="109"/>
      <c r="P449" s="109"/>
      <c r="Q449" s="111" t="s">
        <v>3348</v>
      </c>
      <c r="R449" s="115"/>
      <c r="S449" s="11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13"/>
      <c r="AD449" s="113"/>
      <c r="AE449" s="113"/>
    </row>
    <row r="450">
      <c r="A450" s="114">
        <v>7.290010237531E12</v>
      </c>
      <c r="B450" s="104" t="str">
        <f t="shared" si="1"/>
        <v>Pepsi_500 ml bottle of Pepsi</v>
      </c>
      <c r="C450" s="105">
        <v>0.065</v>
      </c>
      <c r="D450" s="105">
        <v>0.24</v>
      </c>
      <c r="E450" s="105">
        <v>0.065</v>
      </c>
      <c r="F450" s="106">
        <f>ROUND('Meta data'!$B$1/E450,0)</f>
        <v>5</v>
      </c>
      <c r="G450" s="107"/>
      <c r="H450" s="105" t="s">
        <v>3325</v>
      </c>
      <c r="I450" s="105" t="str">
        <f>IFERROR(__xludf.DUMMYFUNCTION("GOOGLETRANSLATE(H450,""he"",""en"")"),"Pepsi")</f>
        <v>Pepsi</v>
      </c>
      <c r="J450" s="105" t="s">
        <v>3333</v>
      </c>
      <c r="K450" s="105" t="str">
        <f>IFERROR(__xludf.DUMMYFUNCTION("GOOGLETRANSLATE(J450,""he"",""en"")"),"500 ml bottle of Pepsi")</f>
        <v>500 ml bottle of Pepsi</v>
      </c>
      <c r="L450" s="104" t="s">
        <v>3337</v>
      </c>
      <c r="M450" s="105" t="s">
        <v>6359</v>
      </c>
      <c r="N450" s="108" t="s">
        <v>6360</v>
      </c>
      <c r="O450" s="109"/>
      <c r="P450" s="109"/>
      <c r="Q450" s="115" t="s">
        <v>3336</v>
      </c>
      <c r="R450" s="116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13"/>
      <c r="AD450" s="113"/>
      <c r="AE450" s="113"/>
    </row>
    <row r="451">
      <c r="A451" s="114">
        <v>7.2992357E7</v>
      </c>
      <c r="B451" s="104" t="str">
        <f t="shared" si="1"/>
        <v>Pesek-Zman_Big Snack byte Pesek Zman 52 grams</v>
      </c>
      <c r="C451" s="105">
        <v>0.145</v>
      </c>
      <c r="D451" s="105">
        <v>0.035</v>
      </c>
      <c r="E451" s="105">
        <v>0.02</v>
      </c>
      <c r="F451" s="106">
        <f>ROUND('Meta data'!$B$1/E451,0)</f>
        <v>15</v>
      </c>
      <c r="G451" s="107"/>
      <c r="H451" s="105" t="s">
        <v>3385</v>
      </c>
      <c r="I451" s="119" t="s">
        <v>3386</v>
      </c>
      <c r="J451" s="105" t="s">
        <v>3394</v>
      </c>
      <c r="K451" s="119" t="s">
        <v>6544</v>
      </c>
      <c r="L451" s="104" t="s">
        <v>3398</v>
      </c>
      <c r="M451" s="105" t="s">
        <v>6302</v>
      </c>
      <c r="N451" s="108" t="s">
        <v>6303</v>
      </c>
      <c r="O451" s="109"/>
      <c r="P451" s="109"/>
      <c r="Q451" s="115" t="s">
        <v>3397</v>
      </c>
      <c r="R451" s="111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13"/>
      <c r="AD451" s="113"/>
      <c r="AE451" s="113"/>
    </row>
    <row r="452">
      <c r="A452" s="114">
        <v>7.2917893E7</v>
      </c>
      <c r="B452" s="104" t="str">
        <f t="shared" si="1"/>
        <v>Pesek-Zman_Pesek Zman out milk 45 grams</v>
      </c>
      <c r="C452" s="105">
        <v>0.16</v>
      </c>
      <c r="D452" s="105">
        <v>0.035</v>
      </c>
      <c r="E452" s="105">
        <v>0.02</v>
      </c>
      <c r="F452" s="106">
        <f>ROUND('Meta data'!$B$1/E452,0)</f>
        <v>15</v>
      </c>
      <c r="G452" s="107"/>
      <c r="H452" s="105" t="s">
        <v>3385</v>
      </c>
      <c r="I452" s="119" t="s">
        <v>3386</v>
      </c>
      <c r="J452" s="105" t="s">
        <v>3409</v>
      </c>
      <c r="K452" s="119" t="s">
        <v>6545</v>
      </c>
      <c r="L452" s="104" t="s">
        <v>3413</v>
      </c>
      <c r="M452" s="105" t="s">
        <v>6302</v>
      </c>
      <c r="N452" s="108" t="s">
        <v>6303</v>
      </c>
      <c r="O452" s="109"/>
      <c r="P452" s="109"/>
      <c r="Q452" s="115" t="s">
        <v>3412</v>
      </c>
      <c r="R452" s="116"/>
      <c r="S452" s="117"/>
      <c r="T452" s="117"/>
      <c r="U452" s="118"/>
      <c r="V452" s="102"/>
      <c r="W452" s="102"/>
      <c r="X452" s="102"/>
      <c r="Y452" s="102"/>
      <c r="Z452" s="102"/>
      <c r="AA452" s="102"/>
      <c r="AB452" s="102"/>
      <c r="AC452" s="113"/>
      <c r="AD452" s="113"/>
      <c r="AE452" s="113"/>
    </row>
    <row r="453">
      <c r="A453" s="114">
        <v>7.2994061E7</v>
      </c>
      <c r="B453" s="104" t="str">
        <f t="shared" si="1"/>
        <v>Pesek-Zman_Pesek Zman 2good</v>
      </c>
      <c r="C453" s="105">
        <v>0.13</v>
      </c>
      <c r="D453" s="105">
        <v>0.045</v>
      </c>
      <c r="E453" s="105">
        <v>0.02</v>
      </c>
      <c r="F453" s="106">
        <f>ROUND('Meta data'!$B$1/E453,0)</f>
        <v>15</v>
      </c>
      <c r="G453" s="107"/>
      <c r="H453" s="105" t="s">
        <v>3385</v>
      </c>
      <c r="I453" s="119" t="s">
        <v>3386</v>
      </c>
      <c r="J453" s="105" t="s">
        <v>3415</v>
      </c>
      <c r="K453" s="119" t="s">
        <v>6546</v>
      </c>
      <c r="L453" s="104" t="s">
        <v>3419</v>
      </c>
      <c r="M453" s="105" t="s">
        <v>6302</v>
      </c>
      <c r="N453" s="108" t="s">
        <v>6303</v>
      </c>
      <c r="O453" s="109"/>
      <c r="P453" s="109"/>
      <c r="Q453" s="111" t="s">
        <v>3418</v>
      </c>
      <c r="R453" s="115"/>
      <c r="S453" s="112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13"/>
      <c r="AD453" s="113"/>
      <c r="AE453" s="113"/>
    </row>
    <row r="454">
      <c r="A454" s="114">
        <v>7.290112358004E12</v>
      </c>
      <c r="B454" s="104" t="str">
        <f t="shared" si="1"/>
        <v>Pesek-Zman_Pesek Zman CRUNCH</v>
      </c>
      <c r="C454" s="105">
        <v>0.16</v>
      </c>
      <c r="D454" s="105">
        <v>0.035</v>
      </c>
      <c r="E454" s="105">
        <v>0.018</v>
      </c>
      <c r="F454" s="106">
        <f>ROUND('Meta data'!$B$1/E454,0)</f>
        <v>17</v>
      </c>
      <c r="G454" s="107"/>
      <c r="H454" s="105" t="s">
        <v>3385</v>
      </c>
      <c r="I454" s="119" t="s">
        <v>3386</v>
      </c>
      <c r="J454" s="105" t="s">
        <v>3421</v>
      </c>
      <c r="K454" s="119" t="s">
        <v>6547</v>
      </c>
      <c r="L454" s="104" t="s">
        <v>3425</v>
      </c>
      <c r="M454" s="105" t="s">
        <v>6302</v>
      </c>
      <c r="N454" s="108" t="s">
        <v>6303</v>
      </c>
      <c r="O454" s="109"/>
      <c r="P454" s="109"/>
      <c r="Q454" s="115" t="s">
        <v>3424</v>
      </c>
      <c r="R454" s="116"/>
      <c r="S454" s="118"/>
      <c r="T454" s="117"/>
      <c r="U454" s="102"/>
      <c r="V454" s="102"/>
      <c r="W454" s="102"/>
      <c r="X454" s="102"/>
      <c r="Y454" s="102"/>
      <c r="Z454" s="102"/>
      <c r="AA454" s="102"/>
      <c r="AB454" s="102"/>
      <c r="AC454" s="113"/>
      <c r="AD454" s="113"/>
      <c r="AE454" s="113"/>
    </row>
    <row r="455">
      <c r="A455" s="114">
        <v>7.290112348234E12</v>
      </c>
      <c r="B455" s="104" t="str">
        <f t="shared" si="1"/>
        <v>Pesek-Zman_Pesek Zman patisserie with raspberry cream</v>
      </c>
      <c r="C455" s="105">
        <v>0.16</v>
      </c>
      <c r="D455" s="105">
        <v>0.035</v>
      </c>
      <c r="E455" s="105">
        <v>0.017</v>
      </c>
      <c r="F455" s="106">
        <f>ROUND('Meta data'!$B$1/E455,0)</f>
        <v>18</v>
      </c>
      <c r="G455" s="107"/>
      <c r="H455" s="105" t="s">
        <v>3385</v>
      </c>
      <c r="I455" s="119" t="s">
        <v>3386</v>
      </c>
      <c r="J455" s="105" t="s">
        <v>3387</v>
      </c>
      <c r="K455" s="119" t="s">
        <v>6548</v>
      </c>
      <c r="L455" s="104" t="s">
        <v>3391</v>
      </c>
      <c r="M455" s="105" t="s">
        <v>6302</v>
      </c>
      <c r="N455" s="108" t="s">
        <v>6303</v>
      </c>
      <c r="O455" s="109"/>
      <c r="P455" s="109"/>
      <c r="Q455" s="115" t="s">
        <v>3390</v>
      </c>
      <c r="R455" s="116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13"/>
      <c r="AD455" s="113"/>
      <c r="AE455" s="113"/>
    </row>
    <row r="456">
      <c r="A456" s="114">
        <v>7.290112348241E12</v>
      </c>
      <c r="B456" s="104" t="str">
        <f t="shared" si="1"/>
        <v>Pesek-Zman_Pesek Zman series with creme patisserie cafe latte</v>
      </c>
      <c r="C456" s="105">
        <v>0.16</v>
      </c>
      <c r="D456" s="105">
        <v>0.035</v>
      </c>
      <c r="E456" s="105">
        <v>0.017</v>
      </c>
      <c r="F456" s="106">
        <f>ROUND('Meta data'!$B$1/E456,0)</f>
        <v>18</v>
      </c>
      <c r="G456" s="107"/>
      <c r="H456" s="105" t="s">
        <v>3385</v>
      </c>
      <c r="I456" s="119" t="s">
        <v>3386</v>
      </c>
      <c r="J456" s="105" t="s">
        <v>3433</v>
      </c>
      <c r="K456" s="119" t="s">
        <v>6549</v>
      </c>
      <c r="L456" s="104" t="s">
        <v>3437</v>
      </c>
      <c r="M456" s="105" t="s">
        <v>6302</v>
      </c>
      <c r="N456" s="108" t="s">
        <v>6303</v>
      </c>
      <c r="O456" s="109"/>
      <c r="P456" s="109"/>
      <c r="Q456" s="115" t="s">
        <v>3436</v>
      </c>
      <c r="R456" s="116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13"/>
      <c r="AD456" s="113"/>
      <c r="AE456" s="113"/>
    </row>
    <row r="457">
      <c r="A457" s="114">
        <v>7.29011235035E12</v>
      </c>
      <c r="B457" s="104" t="str">
        <f t="shared" si="1"/>
        <v>Pesek-Zman_Pesek Zman pastry cream and nuts 35 grams</v>
      </c>
      <c r="C457" s="105">
        <v>0.16</v>
      </c>
      <c r="D457" s="105">
        <v>0.035</v>
      </c>
      <c r="E457" s="105">
        <v>0.017</v>
      </c>
      <c r="F457" s="106">
        <f>ROUND('Meta data'!$B$1/E457,0)</f>
        <v>18</v>
      </c>
      <c r="G457" s="107"/>
      <c r="H457" s="105" t="s">
        <v>3385</v>
      </c>
      <c r="I457" s="119" t="s">
        <v>3386</v>
      </c>
      <c r="J457" s="105" t="s">
        <v>3427</v>
      </c>
      <c r="K457" s="119" t="s">
        <v>6550</v>
      </c>
      <c r="L457" s="104" t="s">
        <v>3431</v>
      </c>
      <c r="M457" s="105" t="s">
        <v>6302</v>
      </c>
      <c r="N457" s="108" t="s">
        <v>6303</v>
      </c>
      <c r="O457" s="109"/>
      <c r="P457" s="109"/>
      <c r="Q457" s="115" t="s">
        <v>3430</v>
      </c>
      <c r="R457" s="116"/>
      <c r="S457" s="117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13"/>
      <c r="AD457" s="113"/>
      <c r="AE457" s="113"/>
    </row>
    <row r="458">
      <c r="A458" s="114">
        <v>7.290112349262E12</v>
      </c>
      <c r="B458" s="104" t="str">
        <f t="shared" si="1"/>
        <v>Pesek-Zman_Pesek Zman snacks 55 grams</v>
      </c>
      <c r="C458" s="105">
        <v>0.07</v>
      </c>
      <c r="D458" s="105">
        <v>0.105</v>
      </c>
      <c r="E458" s="105">
        <v>0.05</v>
      </c>
      <c r="F458" s="106">
        <f>ROUND('Meta data'!$B$1/E458,0)</f>
        <v>6</v>
      </c>
      <c r="G458" s="107"/>
      <c r="H458" s="105" t="s">
        <v>3385</v>
      </c>
      <c r="I458" s="119" t="s">
        <v>3386</v>
      </c>
      <c r="J458" s="105" t="s">
        <v>3127</v>
      </c>
      <c r="K458" s="119" t="s">
        <v>6551</v>
      </c>
      <c r="L458" s="104" t="s">
        <v>3131</v>
      </c>
      <c r="M458" s="105" t="s">
        <v>6302</v>
      </c>
      <c r="N458" s="108" t="s">
        <v>6355</v>
      </c>
      <c r="O458" s="109"/>
      <c r="P458" s="109"/>
      <c r="Q458" s="115" t="s">
        <v>3130</v>
      </c>
      <c r="R458" s="116"/>
      <c r="S458" s="117"/>
      <c r="T458" s="117"/>
      <c r="U458" s="118"/>
      <c r="V458" s="117"/>
      <c r="W458" s="102"/>
      <c r="X458" s="102"/>
      <c r="Y458" s="102"/>
      <c r="Z458" s="102"/>
      <c r="AA458" s="102"/>
      <c r="AB458" s="102"/>
      <c r="AC458" s="113"/>
      <c r="AD458" s="113"/>
      <c r="AE458" s="113"/>
    </row>
    <row r="459">
      <c r="A459" s="114">
        <v>7.290107954457E12</v>
      </c>
      <c r="B459" s="104" t="str">
        <f t="shared" si="1"/>
        <v>Pesek-Zman_Brownies Pesek Zman</v>
      </c>
      <c r="C459" s="105">
        <v>0.28</v>
      </c>
      <c r="D459" s="105">
        <v>0.128</v>
      </c>
      <c r="E459" s="105">
        <v>0.03</v>
      </c>
      <c r="F459" s="106">
        <f>ROUND('Meta data'!$B$1/E459,0)</f>
        <v>10</v>
      </c>
      <c r="G459" s="107"/>
      <c r="H459" s="105" t="s">
        <v>3385</v>
      </c>
      <c r="I459" s="119" t="s">
        <v>3386</v>
      </c>
      <c r="J459" s="105" t="s">
        <v>1191</v>
      </c>
      <c r="K459" s="119" t="s">
        <v>6552</v>
      </c>
      <c r="L459" s="104" t="s">
        <v>1197</v>
      </c>
      <c r="M459" s="105" t="s">
        <v>6393</v>
      </c>
      <c r="N459" s="108" t="s">
        <v>6394</v>
      </c>
      <c r="O459" s="109"/>
      <c r="P459" s="109"/>
      <c r="Q459" s="115" t="s">
        <v>1196</v>
      </c>
      <c r="R459" s="116"/>
      <c r="S459" s="118"/>
      <c r="T459" s="117"/>
      <c r="U459" s="117"/>
      <c r="V459" s="102"/>
      <c r="W459" s="102"/>
      <c r="X459" s="102"/>
      <c r="Y459" s="102"/>
      <c r="Z459" s="102"/>
      <c r="AA459" s="102"/>
      <c r="AB459" s="102"/>
      <c r="AC459" s="113"/>
      <c r="AD459" s="113"/>
      <c r="AE459" s="113"/>
    </row>
    <row r="460">
      <c r="A460" s="114">
        <v>7.290112332691E12</v>
      </c>
      <c r="B460" s="104" t="str">
        <f t="shared" si="1"/>
        <v>Pesek-Zman_Pinocchio with cream and nuts Pesek Zman</v>
      </c>
      <c r="C460" s="105">
        <v>0.265</v>
      </c>
      <c r="D460" s="105">
        <v>0.09</v>
      </c>
      <c r="E460" s="105">
        <v>0.03</v>
      </c>
      <c r="F460" s="106">
        <f>ROUND('Meta data'!$B$1/E460,0)</f>
        <v>10</v>
      </c>
      <c r="G460" s="107"/>
      <c r="H460" s="105" t="s">
        <v>3385</v>
      </c>
      <c r="I460" s="119" t="s">
        <v>3386</v>
      </c>
      <c r="J460" s="105" t="s">
        <v>3402</v>
      </c>
      <c r="K460" s="119" t="s">
        <v>6553</v>
      </c>
      <c r="L460" s="104" t="s">
        <v>3406</v>
      </c>
      <c r="M460" s="105" t="s">
        <v>6304</v>
      </c>
      <c r="N460" s="108" t="s">
        <v>6521</v>
      </c>
      <c r="O460" s="109"/>
      <c r="P460" s="109"/>
      <c r="Q460" s="115" t="s">
        <v>3405</v>
      </c>
      <c r="R460" s="116"/>
      <c r="S460" s="118"/>
      <c r="T460" s="117"/>
      <c r="U460" s="117"/>
      <c r="V460" s="118"/>
      <c r="W460" s="102"/>
      <c r="X460" s="102"/>
      <c r="Y460" s="102"/>
      <c r="Z460" s="102"/>
      <c r="AA460" s="102"/>
      <c r="AB460" s="102"/>
      <c r="AC460" s="113"/>
      <c r="AD460" s="113"/>
      <c r="AE460" s="113"/>
    </row>
    <row r="461">
      <c r="A461" s="114">
        <v>7.290115200027E12</v>
      </c>
      <c r="B461" s="104" t="str">
        <f t="shared" si="1"/>
        <v>Peti-Bar_Osem chocolate treats gullible Bar 16 * 220 g</v>
      </c>
      <c r="C461" s="105">
        <v>0.235</v>
      </c>
      <c r="D461" s="105">
        <v>0.105</v>
      </c>
      <c r="E461" s="105">
        <v>0.045</v>
      </c>
      <c r="F461" s="106">
        <f>ROUND('Meta data'!$B$1/E461,0)</f>
        <v>7</v>
      </c>
      <c r="G461" s="107"/>
      <c r="H461" s="105" t="s">
        <v>3439</v>
      </c>
      <c r="I461" s="119" t="s">
        <v>6554</v>
      </c>
      <c r="J461" s="105" t="s">
        <v>3441</v>
      </c>
      <c r="K461" s="119" t="s">
        <v>6555</v>
      </c>
      <c r="L461" s="104" t="s">
        <v>3446</v>
      </c>
      <c r="M461" s="105" t="s">
        <v>6556</v>
      </c>
      <c r="N461" s="108" t="s">
        <v>6557</v>
      </c>
      <c r="O461" s="109"/>
      <c r="P461" s="109"/>
      <c r="Q461" s="115" t="s">
        <v>3445</v>
      </c>
      <c r="R461" s="116"/>
      <c r="S461" s="117"/>
      <c r="T461" s="118"/>
      <c r="U461" s="117"/>
      <c r="V461" s="102"/>
      <c r="W461" s="102"/>
      <c r="X461" s="102"/>
      <c r="Y461" s="102"/>
      <c r="Z461" s="102"/>
      <c r="AA461" s="102"/>
      <c r="AB461" s="102"/>
      <c r="AC461" s="113"/>
      <c r="AD461" s="113"/>
      <c r="AE461" s="113"/>
    </row>
    <row r="462">
      <c r="A462" s="114">
        <v>7.290000074184E12</v>
      </c>
      <c r="B462" s="104" t="str">
        <f t="shared" si="1"/>
        <v>Peti-Bar_Peti-Bar 500g</v>
      </c>
      <c r="C462" s="105">
        <v>0.19</v>
      </c>
      <c r="D462" s="105">
        <v>0.075</v>
      </c>
      <c r="E462" s="105">
        <v>0.045</v>
      </c>
      <c r="F462" s="106">
        <f>ROUND('Meta data'!$B$1/E462,0)</f>
        <v>7</v>
      </c>
      <c r="G462" s="107"/>
      <c r="H462" s="105" t="s">
        <v>3439</v>
      </c>
      <c r="I462" s="119" t="s">
        <v>6554</v>
      </c>
      <c r="J462" s="105" t="s">
        <v>3449</v>
      </c>
      <c r="K462" s="119" t="s">
        <v>6558</v>
      </c>
      <c r="L462" s="104" t="s">
        <v>3453</v>
      </c>
      <c r="M462" s="105" t="s">
        <v>6556</v>
      </c>
      <c r="N462" s="108" t="s">
        <v>6557</v>
      </c>
      <c r="O462" s="109"/>
      <c r="P462" s="109"/>
      <c r="Q462" s="115" t="s">
        <v>3452</v>
      </c>
      <c r="R462" s="116"/>
      <c r="S462" s="117"/>
      <c r="T462" s="117"/>
      <c r="U462" s="117"/>
      <c r="V462" s="118"/>
      <c r="W462" s="102"/>
      <c r="X462" s="102"/>
      <c r="Y462" s="102"/>
      <c r="Z462" s="102"/>
      <c r="AA462" s="102"/>
      <c r="AB462" s="102"/>
      <c r="AC462" s="113"/>
      <c r="AD462" s="113"/>
      <c r="AE462" s="113"/>
    </row>
    <row r="463">
      <c r="A463" s="114">
        <v>4120566.0</v>
      </c>
      <c r="B463" s="104" t="str">
        <f t="shared" si="1"/>
        <v>Piraeus_Bulgarian cheese Piraeus</v>
      </c>
      <c r="C463" s="105">
        <v>0.09999999</v>
      </c>
      <c r="D463" s="105">
        <v>0.09</v>
      </c>
      <c r="E463" s="105">
        <v>0.075</v>
      </c>
      <c r="F463" s="106">
        <f>ROUND('Meta data'!$B$1/E463,0)</f>
        <v>4</v>
      </c>
      <c r="G463" s="107"/>
      <c r="H463" s="105" t="s">
        <v>3465</v>
      </c>
      <c r="I463" s="105" t="str">
        <f>IFERROR(__xludf.DUMMYFUNCTION("GOOGLETRANSLATE(H463,""he"",""en"")"),"Piraeus")</f>
        <v>Piraeus</v>
      </c>
      <c r="J463" s="105" t="s">
        <v>3467</v>
      </c>
      <c r="K463" s="105" t="str">
        <f>IFERROR(__xludf.DUMMYFUNCTION("GOOGLETRANSLATE(J463,""he"",""en"")"),"Bulgarian cheese Piraeus")</f>
        <v>Bulgarian cheese Piraeus</v>
      </c>
      <c r="L463" s="104" t="s">
        <v>3473</v>
      </c>
      <c r="M463" s="105" t="s">
        <v>6559</v>
      </c>
      <c r="N463" s="108" t="s">
        <v>6560</v>
      </c>
      <c r="O463" s="109"/>
      <c r="P463" s="109"/>
      <c r="Q463" s="115" t="s">
        <v>3472</v>
      </c>
      <c r="R463" s="116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13"/>
      <c r="AD463" s="113"/>
      <c r="AE463" s="113"/>
    </row>
    <row r="464">
      <c r="A464" s="114">
        <v>4120573.0</v>
      </c>
      <c r="B464" s="104" t="str">
        <f t="shared" si="1"/>
        <v>Piraeus_Piraeus Bulgarian 16% 250g</v>
      </c>
      <c r="C464" s="105">
        <v>0.09999999</v>
      </c>
      <c r="D464" s="105">
        <v>0.09</v>
      </c>
      <c r="E464" s="105">
        <v>0.075</v>
      </c>
      <c r="F464" s="106">
        <f>ROUND('Meta data'!$B$1/E464,0)</f>
        <v>4</v>
      </c>
      <c r="G464" s="107"/>
      <c r="H464" s="105" t="s">
        <v>3465</v>
      </c>
      <c r="I464" s="105" t="str">
        <f>IFERROR(__xludf.DUMMYFUNCTION("GOOGLETRANSLATE(H464,""he"",""en"")"),"Piraeus")</f>
        <v>Piraeus</v>
      </c>
      <c r="J464" s="105" t="s">
        <v>3482</v>
      </c>
      <c r="K464" s="105" t="str">
        <f>IFERROR(__xludf.DUMMYFUNCTION("GOOGLETRANSLATE(J464,""he"",""en"")"),"Piraeus Bulgarian 16% 250g")</f>
        <v>Piraeus Bulgarian 16% 250g</v>
      </c>
      <c r="L464" s="104" t="s">
        <v>3486</v>
      </c>
      <c r="M464" s="105" t="s">
        <v>6559</v>
      </c>
      <c r="N464" s="108" t="s">
        <v>6560</v>
      </c>
      <c r="O464" s="109"/>
      <c r="P464" s="109"/>
      <c r="Q464" s="111" t="s">
        <v>3485</v>
      </c>
      <c r="R464" s="111"/>
      <c r="S464" s="112"/>
      <c r="T464" s="112"/>
      <c r="U464" s="102"/>
      <c r="V464" s="102"/>
      <c r="W464" s="102"/>
      <c r="X464" s="102"/>
      <c r="Y464" s="102"/>
      <c r="Z464" s="102"/>
      <c r="AA464" s="102"/>
      <c r="AB464" s="102"/>
      <c r="AC464" s="113"/>
      <c r="AD464" s="113"/>
      <c r="AE464" s="113"/>
    </row>
    <row r="465">
      <c r="A465" s="114">
        <v>4120634.0</v>
      </c>
      <c r="B465" s="104" t="str">
        <f t="shared" si="1"/>
        <v>Piraeus_Piraeus Bulgarian 5% fat</v>
      </c>
      <c r="C465" s="105">
        <v>0.09999999</v>
      </c>
      <c r="D465" s="105">
        <v>0.09</v>
      </c>
      <c r="E465" s="105">
        <v>0.09999999</v>
      </c>
      <c r="F465" s="106">
        <f>ROUND('Meta data'!$B$1/E465,0)</f>
        <v>3</v>
      </c>
      <c r="G465" s="107"/>
      <c r="H465" s="105" t="s">
        <v>3465</v>
      </c>
      <c r="I465" s="105" t="str">
        <f>IFERROR(__xludf.DUMMYFUNCTION("GOOGLETRANSLATE(H465,""he"",""en"")"),"Piraeus")</f>
        <v>Piraeus</v>
      </c>
      <c r="J465" s="105" t="s">
        <v>3488</v>
      </c>
      <c r="K465" s="105" t="str">
        <f>IFERROR(__xludf.DUMMYFUNCTION("GOOGLETRANSLATE(J465,""he"",""en"")"),"Piraeus Bulgarian 5% fat")</f>
        <v>Piraeus Bulgarian 5% fat</v>
      </c>
      <c r="L465" s="104" t="s">
        <v>3492</v>
      </c>
      <c r="M465" s="105" t="s">
        <v>6559</v>
      </c>
      <c r="N465" s="108" t="s">
        <v>6560</v>
      </c>
      <c r="O465" s="109"/>
      <c r="P465" s="109"/>
      <c r="Q465" s="111" t="s">
        <v>3491</v>
      </c>
      <c r="R465" s="111"/>
      <c r="S465" s="118"/>
      <c r="T465" s="112"/>
      <c r="U465" s="112"/>
      <c r="V465" s="102"/>
      <c r="W465" s="102"/>
      <c r="X465" s="102"/>
      <c r="Y465" s="102"/>
      <c r="Z465" s="102"/>
      <c r="AA465" s="102"/>
      <c r="AB465" s="102"/>
      <c r="AC465" s="113"/>
      <c r="AD465" s="113"/>
      <c r="AE465" s="113"/>
    </row>
    <row r="466">
      <c r="A466" s="114">
        <v>48437.0</v>
      </c>
      <c r="B466" s="104" t="str">
        <f t="shared" si="1"/>
        <v>Piraeus_Piraeus salty fat 5%</v>
      </c>
      <c r="C466" s="105">
        <v>0.11</v>
      </c>
      <c r="D466" s="105">
        <v>0.09999999</v>
      </c>
      <c r="E466" s="105">
        <v>0.065</v>
      </c>
      <c r="F466" s="106">
        <f>ROUND('Meta data'!$B$1/E466,0)</f>
        <v>5</v>
      </c>
      <c r="G466" s="107"/>
      <c r="H466" s="105" t="s">
        <v>3465</v>
      </c>
      <c r="I466" s="105" t="str">
        <f>IFERROR(__xludf.DUMMYFUNCTION("GOOGLETRANSLATE(H466,""he"",""en"")"),"Piraeus")</f>
        <v>Piraeus</v>
      </c>
      <c r="J466" s="105" t="s">
        <v>3500</v>
      </c>
      <c r="K466" s="105" t="str">
        <f>IFERROR(__xludf.DUMMYFUNCTION("GOOGLETRANSLATE(J466,""he"",""en"")"),"Piraeus salty fat 5%")</f>
        <v>Piraeus salty fat 5%</v>
      </c>
      <c r="L466" s="104" t="s">
        <v>3505</v>
      </c>
      <c r="M466" s="105" t="s">
        <v>6559</v>
      </c>
      <c r="N466" s="108" t="s">
        <v>6561</v>
      </c>
      <c r="O466" s="109"/>
      <c r="P466" s="109"/>
      <c r="Q466" s="111" t="s">
        <v>3504</v>
      </c>
      <c r="R466" s="111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13"/>
      <c r="AD466" s="113"/>
      <c r="AE466" s="113"/>
    </row>
    <row r="467">
      <c r="A467" s="114">
        <v>4137809.0</v>
      </c>
      <c r="B467" s="104" t="str">
        <f t="shared" si="1"/>
        <v>Piraeus_Piraeus labaneh Asli 5% fat 250g</v>
      </c>
      <c r="C467" s="105">
        <v>0.11</v>
      </c>
      <c r="D467" s="105">
        <v>0.09999999</v>
      </c>
      <c r="E467" s="105">
        <v>0.075</v>
      </c>
      <c r="F467" s="106">
        <f>ROUND('Meta data'!$B$1/E467,0)</f>
        <v>4</v>
      </c>
      <c r="G467" s="107"/>
      <c r="H467" s="105" t="s">
        <v>3465</v>
      </c>
      <c r="I467" s="105" t="str">
        <f>IFERROR(__xludf.DUMMYFUNCTION("GOOGLETRANSLATE(H467,""he"",""en"")"),"Piraeus")</f>
        <v>Piraeus</v>
      </c>
      <c r="J467" s="105" t="s">
        <v>3494</v>
      </c>
      <c r="K467" s="105" t="str">
        <f>IFERROR(__xludf.DUMMYFUNCTION("GOOGLETRANSLATE(J467,""he"",""en"")"),"Piraeus labaneh Asli 5% fat 250g")</f>
        <v>Piraeus labaneh Asli 5% fat 250g</v>
      </c>
      <c r="L467" s="104" t="s">
        <v>3498</v>
      </c>
      <c r="M467" s="105" t="s">
        <v>6562</v>
      </c>
      <c r="N467" s="108" t="s">
        <v>6563</v>
      </c>
      <c r="O467" s="109"/>
      <c r="P467" s="109"/>
      <c r="Q467" s="115" t="s">
        <v>3497</v>
      </c>
      <c r="R467" s="116"/>
      <c r="S467" s="117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13"/>
      <c r="AD467" s="113"/>
      <c r="AE467" s="113"/>
    </row>
    <row r="468">
      <c r="A468" s="114">
        <v>7.29010665626E12</v>
      </c>
      <c r="B468" s="104" t="str">
        <f t="shared" si="1"/>
        <v>popcorn_Natural flavored popcorn 65 g</v>
      </c>
      <c r="C468" s="105">
        <v>0.135</v>
      </c>
      <c r="D468" s="105">
        <v>0.2</v>
      </c>
      <c r="E468" s="105">
        <v>0.06</v>
      </c>
      <c r="F468" s="106">
        <f>ROUND('Meta data'!$B$1/E468,0)</f>
        <v>5</v>
      </c>
      <c r="G468" s="107"/>
      <c r="H468" s="105" t="s">
        <v>3521</v>
      </c>
      <c r="I468" s="105" t="str">
        <f>IFERROR(__xludf.DUMMYFUNCTION("GOOGLETRANSLATE(H468,""he"",""en"")"),"popcorn")</f>
        <v>popcorn</v>
      </c>
      <c r="J468" s="105" t="s">
        <v>3523</v>
      </c>
      <c r="K468" s="105" t="str">
        <f>IFERROR(__xludf.DUMMYFUNCTION("GOOGLETRANSLATE(J468,""he"",""en"")"),"Natural flavored popcorn 65 g")</f>
        <v>Natural flavored popcorn 65 g</v>
      </c>
      <c r="L468" s="104" t="s">
        <v>3525</v>
      </c>
      <c r="M468" s="105" t="s">
        <v>6309</v>
      </c>
      <c r="N468" s="108" t="s">
        <v>6564</v>
      </c>
      <c r="O468" s="109"/>
      <c r="P468" s="109"/>
      <c r="Q468" s="115" t="s">
        <v>3527</v>
      </c>
      <c r="R468" s="116"/>
      <c r="S468" s="117"/>
      <c r="T468" s="117"/>
      <c r="U468" s="118"/>
      <c r="V468" s="102"/>
      <c r="W468" s="102"/>
      <c r="X468" s="102"/>
      <c r="Y468" s="102"/>
      <c r="Z468" s="102"/>
      <c r="AA468" s="102"/>
      <c r="AB468" s="102"/>
      <c r="AC468" s="113"/>
      <c r="AD468" s="113"/>
      <c r="AE468" s="113"/>
    </row>
    <row r="469">
      <c r="A469" s="114">
        <v>7.290000066431E12</v>
      </c>
      <c r="B469" s="104" t="str">
        <f t="shared" si="1"/>
        <v>Popko_Popko butter and honey 80 g</v>
      </c>
      <c r="C469" s="105">
        <v>0.14</v>
      </c>
      <c r="D469" s="105">
        <v>0.18</v>
      </c>
      <c r="E469" s="105">
        <v>0.012</v>
      </c>
      <c r="F469" s="106">
        <f>ROUND('Meta data'!$B$1/E469,0)</f>
        <v>25</v>
      </c>
      <c r="G469" s="107"/>
      <c r="H469" s="105" t="s">
        <v>3530</v>
      </c>
      <c r="I469" s="105" t="str">
        <f>IFERROR(__xludf.DUMMYFUNCTION("GOOGLETRANSLATE(H469,""he"",""en"")"),"Popko")</f>
        <v>Popko</v>
      </c>
      <c r="J469" s="105" t="s">
        <v>3532</v>
      </c>
      <c r="K469" s="105" t="str">
        <f>IFERROR(__xludf.DUMMYFUNCTION("GOOGLETRANSLATE(J469,""he"",""en"")"),"Popko butter and honey 80 g")</f>
        <v>Popko butter and honey 80 g</v>
      </c>
      <c r="L469" s="104" t="s">
        <v>3536</v>
      </c>
      <c r="M469" s="105" t="s">
        <v>6309</v>
      </c>
      <c r="N469" s="108" t="s">
        <v>6564</v>
      </c>
      <c r="O469" s="109"/>
      <c r="P469" s="109"/>
      <c r="Q469" s="115" t="s">
        <v>3535</v>
      </c>
      <c r="R469" s="116"/>
      <c r="S469" s="117"/>
      <c r="T469" s="117"/>
      <c r="U469" s="102"/>
      <c r="V469" s="102"/>
      <c r="W469" s="102"/>
      <c r="X469" s="102"/>
      <c r="Y469" s="102"/>
      <c r="Z469" s="102"/>
      <c r="AA469" s="102"/>
      <c r="AB469" s="102"/>
      <c r="AC469" s="113"/>
      <c r="AD469" s="113"/>
      <c r="AE469" s="113"/>
    </row>
    <row r="470">
      <c r="A470" s="114">
        <v>7.290110111564E12</v>
      </c>
      <c r="B470" s="104" t="str">
        <f t="shared" si="1"/>
        <v>POWERADE_POWERADE citrus-flavored isotonic drink</v>
      </c>
      <c r="C470" s="105">
        <v>0.07</v>
      </c>
      <c r="D470" s="105">
        <v>0.24</v>
      </c>
      <c r="E470" s="105">
        <v>0.07</v>
      </c>
      <c r="F470" s="106">
        <f>ROUND('Meta data'!$B$1/E470,0)</f>
        <v>4</v>
      </c>
      <c r="G470" s="107"/>
      <c r="H470" s="122" t="s">
        <v>6565</v>
      </c>
      <c r="I470" s="105" t="str">
        <f>IFERROR(__xludf.DUMMYFUNCTION("GOOGLETRANSLATE(H470,""he"",""en"")"),"POWERADE")</f>
        <v>POWERADE</v>
      </c>
      <c r="J470" s="105" t="s">
        <v>3540</v>
      </c>
      <c r="K470" s="105" t="str">
        <f>IFERROR(__xludf.DUMMYFUNCTION("GOOGLETRANSLATE(J470,""he"",""en"")"),"POWERADE citrus-flavored isotonic drink")</f>
        <v>POWERADE citrus-flavored isotonic drink</v>
      </c>
      <c r="L470" s="104" t="s">
        <v>3544</v>
      </c>
      <c r="M470" s="105" t="s">
        <v>6329</v>
      </c>
      <c r="N470" s="108" t="s">
        <v>6444</v>
      </c>
      <c r="O470" s="109"/>
      <c r="P470" s="109"/>
      <c r="Q470" s="115" t="s">
        <v>3543</v>
      </c>
      <c r="R470" s="101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13"/>
      <c r="AD470" s="113"/>
      <c r="AE470" s="113"/>
    </row>
    <row r="471">
      <c r="A471" s="114">
        <v>7.290110111557E12</v>
      </c>
      <c r="B471" s="104" t="str">
        <f t="shared" si="1"/>
        <v>POWERADE_POWERADE fruit-flavored isotonic drink</v>
      </c>
      <c r="C471" s="105">
        <v>0.07</v>
      </c>
      <c r="D471" s="105">
        <v>0.24</v>
      </c>
      <c r="E471" s="105">
        <v>0.07</v>
      </c>
      <c r="F471" s="106">
        <f>ROUND('Meta data'!$B$1/E471,0)</f>
        <v>4</v>
      </c>
      <c r="G471" s="107"/>
      <c r="H471" s="122" t="s">
        <v>6565</v>
      </c>
      <c r="I471" s="105" t="str">
        <f>IFERROR(__xludf.DUMMYFUNCTION("GOOGLETRANSLATE(H471,""he"",""en"")"),"POWERADE")</f>
        <v>POWERADE</v>
      </c>
      <c r="J471" s="105" t="s">
        <v>3546</v>
      </c>
      <c r="K471" s="105" t="str">
        <f>IFERROR(__xludf.DUMMYFUNCTION("GOOGLETRANSLATE(J471,""he"",""en"")"),"POWERADE fruit-flavored isotonic drink")</f>
        <v>POWERADE fruit-flavored isotonic drink</v>
      </c>
      <c r="L471" s="104" t="s">
        <v>3550</v>
      </c>
      <c r="M471" s="105" t="s">
        <v>6329</v>
      </c>
      <c r="N471" s="108" t="s">
        <v>6444</v>
      </c>
      <c r="O471" s="109"/>
      <c r="P471" s="109"/>
      <c r="Q471" s="111" t="s">
        <v>3549</v>
      </c>
      <c r="R471" s="138"/>
      <c r="S471" s="112"/>
      <c r="T471" s="118"/>
      <c r="U471" s="112"/>
      <c r="V471" s="102"/>
      <c r="W471" s="102"/>
      <c r="X471" s="102"/>
      <c r="Y471" s="102"/>
      <c r="Z471" s="102"/>
      <c r="AA471" s="102"/>
      <c r="AB471" s="102"/>
      <c r="AC471" s="113"/>
      <c r="AD471" s="113"/>
      <c r="AE471" s="113"/>
    </row>
    <row r="472">
      <c r="A472" s="114">
        <v>7.290112966025E12</v>
      </c>
      <c r="B472" s="104" t="str">
        <f t="shared" si="1"/>
        <v>pretzels_Rustic Barn pretzels teaspoons Togo 24 * 60 g</v>
      </c>
      <c r="C472" s="105">
        <v>0.12</v>
      </c>
      <c r="D472" s="105">
        <v>0.185</v>
      </c>
      <c r="E472" s="105">
        <v>0.05</v>
      </c>
      <c r="F472" s="106">
        <f>ROUND('Meta data'!$B$1/E472,0)</f>
        <v>6</v>
      </c>
      <c r="G472" s="107"/>
      <c r="H472" s="105" t="s">
        <v>1413</v>
      </c>
      <c r="I472" s="105" t="str">
        <f>IFERROR(__xludf.DUMMYFUNCTION("GOOGLETRANSLATE(H472,""he"",""en"")"),"pretzels")</f>
        <v>pretzels</v>
      </c>
      <c r="J472" s="105" t="s">
        <v>3580</v>
      </c>
      <c r="K472" s="105" t="str">
        <f>IFERROR(__xludf.DUMMYFUNCTION("GOOGLETRANSLATE(J472,""he"",""en"")"),"Rustic Barn pretzels teaspoons Togo 24 * 60 g")</f>
        <v>Rustic Barn pretzels teaspoons Togo 24 * 60 g</v>
      </c>
      <c r="L472" s="104" t="s">
        <v>3582</v>
      </c>
      <c r="M472" s="105" t="s">
        <v>6408</v>
      </c>
      <c r="N472" s="108" t="s">
        <v>6566</v>
      </c>
      <c r="O472" s="109"/>
      <c r="P472" s="109"/>
      <c r="Q472" s="115" t="s">
        <v>3583</v>
      </c>
      <c r="R472" s="115"/>
      <c r="S472" s="117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13"/>
      <c r="AD472" s="113"/>
      <c r="AE472" s="113"/>
    </row>
    <row r="473">
      <c r="A473" s="114">
        <v>7.290000071008E12</v>
      </c>
      <c r="B473" s="104" t="str">
        <f t="shared" si="1"/>
        <v>pretzels_Flat pretzel salt barn 60g</v>
      </c>
      <c r="C473" s="105">
        <v>0.09999999</v>
      </c>
      <c r="D473" s="105">
        <v>0.19</v>
      </c>
      <c r="E473" s="105">
        <v>0.04</v>
      </c>
      <c r="F473" s="106">
        <f>ROUND('Meta data'!$B$1/E473,0)</f>
        <v>8</v>
      </c>
      <c r="G473" s="107"/>
      <c r="H473" s="105" t="s">
        <v>1413</v>
      </c>
      <c r="I473" s="105" t="str">
        <f>IFERROR(__xludf.DUMMYFUNCTION("GOOGLETRANSLATE(H473,""he"",""en"")"),"pretzels")</f>
        <v>pretzels</v>
      </c>
      <c r="J473" s="105" t="s">
        <v>3560</v>
      </c>
      <c r="K473" s="105" t="str">
        <f>IFERROR(__xludf.DUMMYFUNCTION("GOOGLETRANSLATE(J473,""he"",""en"")"),"Flat pretzel salt barn 60g")</f>
        <v>Flat pretzel salt barn 60g</v>
      </c>
      <c r="L473" s="104" t="s">
        <v>3565</v>
      </c>
      <c r="M473" s="105" t="s">
        <v>6408</v>
      </c>
      <c r="N473" s="108" t="s">
        <v>6566</v>
      </c>
      <c r="O473" s="109"/>
      <c r="P473" s="109"/>
      <c r="Q473" s="115" t="s">
        <v>3564</v>
      </c>
      <c r="R473" s="116"/>
      <c r="S473" s="118"/>
      <c r="T473" s="117"/>
      <c r="U473" s="102"/>
      <c r="V473" s="102"/>
      <c r="W473" s="102"/>
      <c r="X473" s="102"/>
      <c r="Y473" s="102"/>
      <c r="Z473" s="102"/>
      <c r="AA473" s="102"/>
      <c r="AB473" s="102"/>
      <c r="AC473" s="113"/>
      <c r="AD473" s="113"/>
      <c r="AE473" s="113"/>
    </row>
    <row r="474">
      <c r="A474" s="114">
        <v>7.290000076126E12</v>
      </c>
      <c r="B474" s="104" t="str">
        <f t="shared" si="1"/>
        <v>pretzels_Pretzels his small barn, 80 g</v>
      </c>
      <c r="C474" s="105">
        <v>0.115</v>
      </c>
      <c r="D474" s="105">
        <v>0.195</v>
      </c>
      <c r="E474" s="105">
        <v>0.03</v>
      </c>
      <c r="F474" s="106">
        <f>ROUND('Meta data'!$B$1/E474,0)</f>
        <v>10</v>
      </c>
      <c r="G474" s="107"/>
      <c r="H474" s="105" t="s">
        <v>1413</v>
      </c>
      <c r="I474" s="105" t="str">
        <f>IFERROR(__xludf.DUMMYFUNCTION("GOOGLETRANSLATE(H474,""he"",""en"")"),"pretzels")</f>
        <v>pretzels</v>
      </c>
      <c r="J474" s="105" t="s">
        <v>3574</v>
      </c>
      <c r="K474" s="105" t="str">
        <f>IFERROR(__xludf.DUMMYFUNCTION("GOOGLETRANSLATE(J474,""he"",""en"")"),"Pretzels his small barn, 80 g")</f>
        <v>Pretzels his small barn, 80 g</v>
      </c>
      <c r="L474" s="104" t="s">
        <v>3578</v>
      </c>
      <c r="M474" s="105" t="s">
        <v>6408</v>
      </c>
      <c r="N474" s="108" t="s">
        <v>6566</v>
      </c>
      <c r="O474" s="109"/>
      <c r="P474" s="109"/>
      <c r="Q474" s="115" t="s">
        <v>3577</v>
      </c>
      <c r="R474" s="116"/>
      <c r="S474" s="118"/>
      <c r="T474" s="117"/>
      <c r="U474" s="102"/>
      <c r="V474" s="102"/>
      <c r="W474" s="102"/>
      <c r="X474" s="102"/>
      <c r="Y474" s="102"/>
      <c r="Z474" s="102"/>
      <c r="AA474" s="102"/>
      <c r="AB474" s="102"/>
      <c r="AC474" s="113"/>
      <c r="AD474" s="113"/>
      <c r="AE474" s="113"/>
    </row>
    <row r="475">
      <c r="A475" s="114">
        <v>7.290000076133E12</v>
      </c>
      <c r="B475" s="104" t="str">
        <f t="shared" si="1"/>
        <v>pretzels_Pretzels his small barn, 400 g</v>
      </c>
      <c r="C475" s="105">
        <v>0.15</v>
      </c>
      <c r="D475" s="105">
        <v>0.23</v>
      </c>
      <c r="E475" s="105">
        <v>0.085</v>
      </c>
      <c r="F475" s="106">
        <f>ROUND('Meta data'!$B$1/E475,0)</f>
        <v>4</v>
      </c>
      <c r="G475" s="107"/>
      <c r="H475" s="105" t="s">
        <v>1413</v>
      </c>
      <c r="I475" s="105" t="str">
        <f>IFERROR(__xludf.DUMMYFUNCTION("GOOGLETRANSLATE(H475,""he"",""en"")"),"pretzels")</f>
        <v>pretzels</v>
      </c>
      <c r="J475" s="105" t="s">
        <v>3567</v>
      </c>
      <c r="K475" s="105" t="str">
        <f>IFERROR(__xludf.DUMMYFUNCTION("GOOGLETRANSLATE(J475,""he"",""en"")"),"Pretzels his small barn, 400 g")</f>
        <v>Pretzels his small barn, 400 g</v>
      </c>
      <c r="L475" s="104" t="s">
        <v>3572</v>
      </c>
      <c r="M475" s="105" t="s">
        <v>6408</v>
      </c>
      <c r="N475" s="108" t="s">
        <v>6567</v>
      </c>
      <c r="O475" s="109"/>
      <c r="P475" s="109"/>
      <c r="Q475" s="115" t="s">
        <v>3571</v>
      </c>
      <c r="R475" s="116"/>
      <c r="S475" s="117"/>
      <c r="T475" s="118"/>
      <c r="U475" s="102"/>
      <c r="V475" s="102"/>
      <c r="W475" s="102"/>
      <c r="X475" s="102"/>
      <c r="Y475" s="102"/>
      <c r="Z475" s="102"/>
      <c r="AA475" s="102"/>
      <c r="AB475" s="102"/>
      <c r="AC475" s="113"/>
      <c r="AD475" s="113"/>
      <c r="AE475" s="113"/>
    </row>
    <row r="476">
      <c r="A476" s="114">
        <v>7.290106574977E12</v>
      </c>
      <c r="B476" s="104" t="str">
        <f t="shared" si="1"/>
        <v>pretzels_Barn flat pretzels with salt 9 * 300 g</v>
      </c>
      <c r="C476" s="105">
        <v>0.15</v>
      </c>
      <c r="D476" s="105">
        <v>0.23</v>
      </c>
      <c r="E476" s="105">
        <v>0.08</v>
      </c>
      <c r="F476" s="106">
        <f>ROUND('Meta data'!$B$1/E476,0)</f>
        <v>4</v>
      </c>
      <c r="G476" s="107"/>
      <c r="H476" s="105" t="s">
        <v>1413</v>
      </c>
      <c r="I476" s="105" t="str">
        <f>IFERROR(__xludf.DUMMYFUNCTION("GOOGLETRANSLATE(H476,""he"",""en"")"),"pretzels")</f>
        <v>pretzels</v>
      </c>
      <c r="J476" s="105" t="s">
        <v>3553</v>
      </c>
      <c r="K476" s="105" t="str">
        <f>IFERROR(__xludf.DUMMYFUNCTION("GOOGLETRANSLATE(J476,""he"",""en"")"),"Barn flat pretzels with salt 9 * 300 g")</f>
        <v>Barn flat pretzels with salt 9 * 300 g</v>
      </c>
      <c r="L476" s="104" t="s">
        <v>3555</v>
      </c>
      <c r="M476" s="105" t="s">
        <v>6408</v>
      </c>
      <c r="N476" s="108" t="s">
        <v>6568</v>
      </c>
      <c r="O476" s="109"/>
      <c r="P476" s="109"/>
      <c r="Q476" s="115" t="s">
        <v>3557</v>
      </c>
      <c r="R476" s="116"/>
      <c r="S476" s="117"/>
      <c r="T476" s="117"/>
      <c r="U476" s="118"/>
      <c r="V476" s="102"/>
      <c r="W476" s="102"/>
      <c r="X476" s="102"/>
      <c r="Y476" s="102"/>
      <c r="Z476" s="102"/>
      <c r="AA476" s="102"/>
      <c r="AB476" s="102"/>
      <c r="AC476" s="113"/>
      <c r="AD476" s="113"/>
      <c r="AE476" s="113"/>
    </row>
    <row r="477">
      <c r="A477" s="114">
        <v>7.290013585684E12</v>
      </c>
      <c r="B477" s="104" t="str">
        <f t="shared" si="1"/>
        <v>Prigat_EXTRA tropical Prigat weight 420 ml</v>
      </c>
      <c r="C477" s="105">
        <v>0.07</v>
      </c>
      <c r="D477" s="105">
        <v>0.18</v>
      </c>
      <c r="E477" s="105">
        <v>0.07</v>
      </c>
      <c r="F477" s="106">
        <f>ROUND('Meta data'!$B$1/E477,0)</f>
        <v>4</v>
      </c>
      <c r="G477" s="107"/>
      <c r="H477" s="105" t="s">
        <v>3726</v>
      </c>
      <c r="I477" s="105" t="str">
        <f>IFERROR(__xludf.DUMMYFUNCTION("GOOGLETRANSLATE(H477,""he"",""en"")"),"Prigat")</f>
        <v>Prigat</v>
      </c>
      <c r="J477" s="105" t="s">
        <v>3758</v>
      </c>
      <c r="K477" s="105" t="str">
        <f>IFERROR(__xludf.DUMMYFUNCTION("GOOGLETRANSLATE(J477,""he"",""en"")"),"EXTRA tropical Prigat weight 420 ml")</f>
        <v>EXTRA tropical Prigat weight 420 ml</v>
      </c>
      <c r="L477" s="104" t="s">
        <v>3762</v>
      </c>
      <c r="M477" s="105" t="s">
        <v>6569</v>
      </c>
      <c r="N477" s="108" t="s">
        <v>6570</v>
      </c>
      <c r="O477" s="109"/>
      <c r="P477" s="109"/>
      <c r="Q477" s="115" t="s">
        <v>3761</v>
      </c>
      <c r="R477" s="116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13"/>
      <c r="AD477" s="113"/>
      <c r="AE477" s="113"/>
    </row>
    <row r="478">
      <c r="A478" s="114">
        <v>7.290013585653E12</v>
      </c>
      <c r="B478" s="104" t="str">
        <f t="shared" si="1"/>
        <v>Prigat_Extra pineapple Prigat</v>
      </c>
      <c r="C478" s="105">
        <v>0.07</v>
      </c>
      <c r="D478" s="105">
        <v>0.18</v>
      </c>
      <c r="E478" s="105">
        <v>0.07</v>
      </c>
      <c r="F478" s="106">
        <f>ROUND('Meta data'!$B$1/E478,0)</f>
        <v>4</v>
      </c>
      <c r="G478" s="107"/>
      <c r="H478" s="105" t="s">
        <v>3726</v>
      </c>
      <c r="I478" s="105" t="str">
        <f>IFERROR(__xludf.DUMMYFUNCTION("GOOGLETRANSLATE(H478,""he"",""en"")"),"Prigat")</f>
        <v>Prigat</v>
      </c>
      <c r="J478" s="105" t="s">
        <v>3752</v>
      </c>
      <c r="K478" s="105" t="str">
        <f>IFERROR(__xludf.DUMMYFUNCTION("GOOGLETRANSLATE(J478,""he"",""en"")"),"Extra pineapple Prigat")</f>
        <v>Extra pineapple Prigat</v>
      </c>
      <c r="L478" s="104" t="s">
        <v>3756</v>
      </c>
      <c r="M478" s="105" t="s">
        <v>6569</v>
      </c>
      <c r="N478" s="108" t="s">
        <v>6570</v>
      </c>
      <c r="O478" s="109"/>
      <c r="P478" s="109"/>
      <c r="Q478" s="115" t="s">
        <v>3755</v>
      </c>
      <c r="R478" s="116"/>
      <c r="S478" s="117"/>
      <c r="T478" s="118"/>
      <c r="U478" s="117"/>
      <c r="V478" s="102"/>
      <c r="W478" s="102"/>
      <c r="X478" s="102"/>
      <c r="Y478" s="102"/>
      <c r="Z478" s="102"/>
      <c r="AA478" s="102"/>
      <c r="AB478" s="102"/>
      <c r="AC478" s="113"/>
      <c r="AD478" s="113"/>
      <c r="AE478" s="113"/>
    </row>
    <row r="479">
      <c r="A479" s="114">
        <v>7.290013585677E12</v>
      </c>
      <c r="B479" s="104" t="str">
        <f t="shared" si="1"/>
        <v>Prigat_Extra mango Prigat</v>
      </c>
      <c r="C479" s="105">
        <v>0.07</v>
      </c>
      <c r="D479" s="105">
        <v>0.18</v>
      </c>
      <c r="E479" s="105">
        <v>0.07</v>
      </c>
      <c r="F479" s="106">
        <f>ROUND('Meta data'!$B$1/E479,0)</f>
        <v>4</v>
      </c>
      <c r="G479" s="107"/>
      <c r="H479" s="105" t="s">
        <v>3726</v>
      </c>
      <c r="I479" s="105" t="str">
        <f>IFERROR(__xludf.DUMMYFUNCTION("GOOGLETRANSLATE(H479,""he"",""en"")"),"Prigat")</f>
        <v>Prigat</v>
      </c>
      <c r="J479" s="105" t="s">
        <v>3743</v>
      </c>
      <c r="K479" s="105" t="str">
        <f>IFERROR(__xludf.DUMMYFUNCTION("GOOGLETRANSLATE(J479,""he"",""en"")"),"Extra mango Prigat")</f>
        <v>Extra mango Prigat</v>
      </c>
      <c r="L479" s="104" t="s">
        <v>3749</v>
      </c>
      <c r="M479" s="105" t="s">
        <v>6569</v>
      </c>
      <c r="N479" s="108" t="s">
        <v>6570</v>
      </c>
      <c r="O479" s="109"/>
      <c r="P479" s="109"/>
      <c r="Q479" s="115" t="s">
        <v>3748</v>
      </c>
      <c r="R479" s="116"/>
      <c r="S479" s="117"/>
      <c r="T479" s="117"/>
      <c r="U479" s="118"/>
      <c r="V479" s="102"/>
      <c r="W479" s="102"/>
      <c r="X479" s="102"/>
      <c r="Y479" s="102"/>
      <c r="Z479" s="102"/>
      <c r="AA479" s="102"/>
      <c r="AB479" s="102"/>
      <c r="AC479" s="113"/>
      <c r="AD479" s="113"/>
      <c r="AE479" s="113"/>
    </row>
    <row r="480">
      <c r="A480" s="114">
        <v>7.290011015374E12</v>
      </c>
      <c r="B480" s="104" t="str">
        <f t="shared" si="1"/>
        <v>Prigat_Freshly squeezed orange juice, 400 ml Prigat</v>
      </c>
      <c r="C480" s="105">
        <v>0.07</v>
      </c>
      <c r="D480" s="105">
        <v>0.19</v>
      </c>
      <c r="E480" s="105">
        <v>0.053</v>
      </c>
      <c r="F480" s="106">
        <f>ROUND('Meta data'!$B$1/E480,0)</f>
        <v>6</v>
      </c>
      <c r="G480" s="107"/>
      <c r="H480" s="105" t="s">
        <v>3726</v>
      </c>
      <c r="I480" s="105" t="str">
        <f>IFERROR(__xludf.DUMMYFUNCTION("GOOGLETRANSLATE(H480,""he"",""en"")"),"Prigat")</f>
        <v>Prigat</v>
      </c>
      <c r="J480" s="105" t="s">
        <v>3770</v>
      </c>
      <c r="K480" s="105" t="str">
        <f>IFERROR(__xludf.DUMMYFUNCTION("GOOGLETRANSLATE(J480,""he"",""en"")"),"Freshly squeezed orange juice, 400 ml Prigat")</f>
        <v>Freshly squeezed orange juice, 400 ml Prigat</v>
      </c>
      <c r="L480" s="104" t="s">
        <v>3774</v>
      </c>
      <c r="M480" s="105" t="s">
        <v>6571</v>
      </c>
      <c r="N480" s="108" t="s">
        <v>6572</v>
      </c>
      <c r="O480" s="109"/>
      <c r="P480" s="109"/>
      <c r="Q480" s="111" t="s">
        <v>3773</v>
      </c>
      <c r="R480" s="116"/>
      <c r="S480" s="118"/>
      <c r="T480" s="117"/>
      <c r="U480" s="102"/>
      <c r="V480" s="102"/>
      <c r="W480" s="102"/>
      <c r="X480" s="102"/>
      <c r="Y480" s="102"/>
      <c r="Z480" s="102"/>
      <c r="AA480" s="102"/>
      <c r="AB480" s="102"/>
      <c r="AC480" s="113"/>
      <c r="AD480" s="113"/>
      <c r="AE480" s="113"/>
    </row>
    <row r="481">
      <c r="A481" s="114">
        <v>7.290000377612E12</v>
      </c>
      <c r="B481" s="104" t="str">
        <f t="shared" si="1"/>
        <v>Prigat_Freshly squeezed orange juice, 400 ml</v>
      </c>
      <c r="C481" s="105">
        <v>0.07</v>
      </c>
      <c r="D481" s="105">
        <v>0.19</v>
      </c>
      <c r="E481" s="105">
        <v>0.053</v>
      </c>
      <c r="F481" s="106">
        <f>ROUND('Meta data'!$B$1/E481,0)</f>
        <v>6</v>
      </c>
      <c r="G481" s="107"/>
      <c r="H481" s="105" t="s">
        <v>3726</v>
      </c>
      <c r="I481" s="105" t="str">
        <f>IFERROR(__xludf.DUMMYFUNCTION("GOOGLETRANSLATE(H481,""he"",""en"")"),"Prigat")</f>
        <v>Prigat</v>
      </c>
      <c r="J481" s="105" t="s">
        <v>3764</v>
      </c>
      <c r="K481" s="105" t="str">
        <f>IFERROR(__xludf.DUMMYFUNCTION("GOOGLETRANSLATE(J481,""he"",""en"")"),"Freshly squeezed orange juice, 400 ml")</f>
        <v>Freshly squeezed orange juice, 400 ml</v>
      </c>
      <c r="L481" s="104" t="s">
        <v>3768</v>
      </c>
      <c r="M481" s="105" t="s">
        <v>6571</v>
      </c>
      <c r="N481" s="108" t="s">
        <v>6572</v>
      </c>
      <c r="O481" s="109"/>
      <c r="P481" s="109"/>
      <c r="Q481" s="115" t="s">
        <v>3767</v>
      </c>
      <c r="R481" s="116"/>
      <c r="S481" s="117"/>
      <c r="T481" s="117"/>
      <c r="U481" s="117"/>
      <c r="V481" s="102"/>
      <c r="W481" s="102"/>
      <c r="X481" s="102"/>
      <c r="Y481" s="102"/>
      <c r="Z481" s="102"/>
      <c r="AA481" s="102"/>
      <c r="AB481" s="102"/>
      <c r="AC481" s="113"/>
      <c r="AD481" s="113"/>
      <c r="AE481" s="113"/>
    </row>
    <row r="482">
      <c r="A482" s="114">
        <v>7.290013153432E12</v>
      </c>
      <c r="B482" s="104" t="str">
        <f t="shared" si="1"/>
        <v>Prigat_400 ml freshly squeezed lemonade with mint leaves</v>
      </c>
      <c r="C482" s="105">
        <v>0.07</v>
      </c>
      <c r="D482" s="105">
        <v>0.19</v>
      </c>
      <c r="E482" s="105">
        <v>0.053</v>
      </c>
      <c r="F482" s="106">
        <f>ROUND('Meta data'!$B$1/E482,0)</f>
        <v>6</v>
      </c>
      <c r="G482" s="107"/>
      <c r="H482" s="105" t="s">
        <v>3726</v>
      </c>
      <c r="I482" s="105" t="str">
        <f>IFERROR(__xludf.DUMMYFUNCTION("GOOGLETRANSLATE(H482,""he"",""en"")"),"Prigat")</f>
        <v>Prigat</v>
      </c>
      <c r="J482" s="105" t="s">
        <v>3735</v>
      </c>
      <c r="K482" s="105" t="str">
        <f>IFERROR(__xludf.DUMMYFUNCTION("GOOGLETRANSLATE(J482,""he"",""en"")"),"400 ml freshly squeezed lemonade with mint leaves")</f>
        <v>400 ml freshly squeezed lemonade with mint leaves</v>
      </c>
      <c r="L482" s="104" t="s">
        <v>3741</v>
      </c>
      <c r="M482" s="105" t="s">
        <v>6571</v>
      </c>
      <c r="N482" s="108" t="s">
        <v>6572</v>
      </c>
      <c r="O482" s="109"/>
      <c r="P482" s="109"/>
      <c r="Q482" s="115" t="s">
        <v>3740</v>
      </c>
      <c r="R482" s="116"/>
      <c r="S482" s="117"/>
      <c r="T482" s="117"/>
      <c r="U482" s="117"/>
      <c r="V482" s="102"/>
      <c r="W482" s="102"/>
      <c r="X482" s="102"/>
      <c r="Y482" s="102"/>
      <c r="Z482" s="102"/>
      <c r="AA482" s="102"/>
      <c r="AB482" s="102"/>
      <c r="AC482" s="113"/>
      <c r="AD482" s="113"/>
      <c r="AE482" s="113"/>
    </row>
    <row r="483">
      <c r="A483" s="114">
        <v>7.290001594384E12</v>
      </c>
      <c r="B483" s="104" t="str">
        <f t="shared" si="1"/>
        <v>Prigat_Grapefruit 500 ml Prigat</v>
      </c>
      <c r="C483" s="105">
        <v>0.06</v>
      </c>
      <c r="D483" s="105">
        <v>0.193</v>
      </c>
      <c r="E483" s="105">
        <v>0.06</v>
      </c>
      <c r="F483" s="106">
        <f>ROUND('Meta data'!$B$1/E483,0)</f>
        <v>5</v>
      </c>
      <c r="G483" s="107"/>
      <c r="H483" s="105" t="s">
        <v>3726</v>
      </c>
      <c r="I483" s="105" t="str">
        <f>IFERROR(__xludf.DUMMYFUNCTION("GOOGLETRANSLATE(H483,""he"",""en"")"),"Prigat")</f>
        <v>Prigat</v>
      </c>
      <c r="J483" s="105" t="s">
        <v>3794</v>
      </c>
      <c r="K483" s="105" t="str">
        <f>IFERROR(__xludf.DUMMYFUNCTION("GOOGLETRANSLATE(J483,""he"",""en"")"),"Grapefruit 500 ml Prigat")</f>
        <v>Grapefruit 500 ml Prigat</v>
      </c>
      <c r="L483" s="104" t="s">
        <v>3798</v>
      </c>
      <c r="M483" s="105" t="s">
        <v>6351</v>
      </c>
      <c r="N483" s="108" t="s">
        <v>6352</v>
      </c>
      <c r="O483" s="109"/>
      <c r="P483" s="109"/>
      <c r="Q483" s="115" t="s">
        <v>3797</v>
      </c>
      <c r="R483" s="116"/>
      <c r="S483" s="112"/>
      <c r="T483" s="117"/>
      <c r="U483" s="102"/>
      <c r="V483" s="102"/>
      <c r="W483" s="102"/>
      <c r="X483" s="102"/>
      <c r="Y483" s="102"/>
      <c r="Z483" s="102"/>
      <c r="AA483" s="102"/>
      <c r="AB483" s="102"/>
      <c r="AC483" s="113"/>
      <c r="AD483" s="113"/>
      <c r="AE483" s="113"/>
    </row>
    <row r="484">
      <c r="A484" s="114">
        <v>7.290110110475E12</v>
      </c>
      <c r="B484" s="104" t="str">
        <f t="shared" si="1"/>
        <v>Prigat_Prigat clear pineapple</v>
      </c>
      <c r="C484" s="105">
        <v>0.06</v>
      </c>
      <c r="D484" s="105">
        <v>0.193</v>
      </c>
      <c r="E484" s="105">
        <v>0.06</v>
      </c>
      <c r="F484" s="106">
        <f>ROUND('Meta data'!$B$1/E484,0)</f>
        <v>5</v>
      </c>
      <c r="G484" s="107"/>
      <c r="H484" s="105" t="s">
        <v>3726</v>
      </c>
      <c r="I484" s="105" t="str">
        <f>IFERROR(__xludf.DUMMYFUNCTION("GOOGLETRANSLATE(H484,""he"",""en"")"),"Prigat")</f>
        <v>Prigat</v>
      </c>
      <c r="J484" s="105" t="s">
        <v>3818</v>
      </c>
      <c r="K484" s="105" t="str">
        <f>IFERROR(__xludf.DUMMYFUNCTION("GOOGLETRANSLATE(J484,""he"",""en"")"),"Prigat clear pineapple")</f>
        <v>Prigat clear pineapple</v>
      </c>
      <c r="L484" s="104" t="s">
        <v>3822</v>
      </c>
      <c r="M484" s="105" t="s">
        <v>6351</v>
      </c>
      <c r="N484" s="108" t="s">
        <v>6352</v>
      </c>
      <c r="O484" s="109"/>
      <c r="P484" s="109"/>
      <c r="Q484" s="115" t="s">
        <v>3821</v>
      </c>
      <c r="R484" s="116"/>
      <c r="S484" s="117"/>
      <c r="T484" s="117"/>
      <c r="U484" s="117"/>
      <c r="V484" s="102"/>
      <c r="W484" s="102"/>
      <c r="X484" s="102"/>
      <c r="Y484" s="102"/>
      <c r="Z484" s="102"/>
      <c r="AA484" s="102"/>
      <c r="AB484" s="102"/>
      <c r="AC484" s="113"/>
      <c r="AD484" s="113"/>
      <c r="AE484" s="113"/>
    </row>
    <row r="485">
      <c r="A485" s="114">
        <v>7.290110110468E12</v>
      </c>
      <c r="B485" s="104" t="str">
        <f t="shared" si="1"/>
        <v>Prigat_Prigat clear peach</v>
      </c>
      <c r="C485" s="105">
        <v>0.06</v>
      </c>
      <c r="D485" s="105">
        <v>0.193</v>
      </c>
      <c r="E485" s="105">
        <v>0.06</v>
      </c>
      <c r="F485" s="106">
        <f>ROUND('Meta data'!$B$1/E485,0)</f>
        <v>5</v>
      </c>
      <c r="G485" s="107"/>
      <c r="H485" s="105" t="s">
        <v>3726</v>
      </c>
      <c r="I485" s="105" t="str">
        <f>IFERROR(__xludf.DUMMYFUNCTION("GOOGLETRANSLATE(H485,""he"",""en"")"),"Prigat")</f>
        <v>Prigat</v>
      </c>
      <c r="J485" s="105" t="s">
        <v>3812</v>
      </c>
      <c r="K485" s="105" t="str">
        <f>IFERROR(__xludf.DUMMYFUNCTION("GOOGLETRANSLATE(J485,""he"",""en"")"),"Prigat clear peach")</f>
        <v>Prigat clear peach</v>
      </c>
      <c r="L485" s="104" t="s">
        <v>3816</v>
      </c>
      <c r="M485" s="105" t="s">
        <v>6351</v>
      </c>
      <c r="N485" s="108" t="s">
        <v>6352</v>
      </c>
      <c r="O485" s="109"/>
      <c r="P485" s="109"/>
      <c r="Q485" s="115" t="s">
        <v>3815</v>
      </c>
      <c r="R485" s="115"/>
      <c r="S485" s="117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13"/>
      <c r="AD485" s="113"/>
      <c r="AE485" s="113"/>
    </row>
    <row r="486">
      <c r="A486" s="114">
        <v>7.290001594377E12</v>
      </c>
      <c r="B486" s="104" t="str">
        <f t="shared" si="1"/>
        <v>Prigat_Prigat oranges, 500 ml</v>
      </c>
      <c r="C486" s="105">
        <v>0.06</v>
      </c>
      <c r="D486" s="105">
        <v>0.193</v>
      </c>
      <c r="E486" s="105">
        <v>0.06</v>
      </c>
      <c r="F486" s="106">
        <f>ROUND('Meta data'!$B$1/E486,0)</f>
        <v>5</v>
      </c>
      <c r="G486" s="107"/>
      <c r="H486" s="105" t="s">
        <v>3726</v>
      </c>
      <c r="I486" s="105" t="str">
        <f>IFERROR(__xludf.DUMMYFUNCTION("GOOGLETRANSLATE(H486,""he"",""en"")"),"Prigat")</f>
        <v>Prigat</v>
      </c>
      <c r="J486" s="105" t="s">
        <v>3824</v>
      </c>
      <c r="K486" s="105" t="str">
        <f>IFERROR(__xludf.DUMMYFUNCTION("GOOGLETRANSLATE(J486,""he"",""en"")"),"Prigat oranges, 500 ml")</f>
        <v>Prigat oranges, 500 ml</v>
      </c>
      <c r="L486" s="104" t="s">
        <v>3828</v>
      </c>
      <c r="M486" s="105" t="s">
        <v>6351</v>
      </c>
      <c r="N486" s="108" t="s">
        <v>6352</v>
      </c>
      <c r="O486" s="109"/>
      <c r="P486" s="109"/>
      <c r="Q486" s="115" t="s">
        <v>3827</v>
      </c>
      <c r="R486" s="116"/>
      <c r="S486" s="118"/>
      <c r="T486" s="117"/>
      <c r="U486" s="102"/>
      <c r="V486" s="102"/>
      <c r="W486" s="102"/>
      <c r="X486" s="102"/>
      <c r="Y486" s="102"/>
      <c r="Z486" s="102"/>
      <c r="AA486" s="102"/>
      <c r="AB486" s="102"/>
      <c r="AC486" s="113"/>
      <c r="AD486" s="113"/>
      <c r="AE486" s="113"/>
    </row>
    <row r="487">
      <c r="A487" s="114">
        <v>7.290002871477E12</v>
      </c>
      <c r="B487" s="104" t="str">
        <f t="shared" si="1"/>
        <v>Prigat_Grapefruit 1.5 liter Prigat</v>
      </c>
      <c r="C487" s="105">
        <v>0.08</v>
      </c>
      <c r="D487" s="105">
        <v>0.3</v>
      </c>
      <c r="E487" s="105">
        <v>0.08</v>
      </c>
      <c r="F487" s="106">
        <f>ROUND('Meta data'!$B$1/E487,0)</f>
        <v>4</v>
      </c>
      <c r="G487" s="107"/>
      <c r="H487" s="105" t="s">
        <v>3726</v>
      </c>
      <c r="I487" s="105" t="str">
        <f>IFERROR(__xludf.DUMMYFUNCTION("GOOGLETRANSLATE(H487,""he"",""en"")"),"Prigat")</f>
        <v>Prigat</v>
      </c>
      <c r="J487" s="105" t="s">
        <v>3788</v>
      </c>
      <c r="K487" s="105" t="str">
        <f>IFERROR(__xludf.DUMMYFUNCTION("GOOGLETRANSLATE(J487,""he"",""en"")"),"Grapefruit 1.5 liter Prigat")</f>
        <v>Grapefruit 1.5 liter Prigat</v>
      </c>
      <c r="L487" s="104" t="s">
        <v>3792</v>
      </c>
      <c r="M487" s="105" t="s">
        <v>6351</v>
      </c>
      <c r="N487" s="108" t="s">
        <v>6428</v>
      </c>
      <c r="O487" s="109"/>
      <c r="P487" s="109"/>
      <c r="Q487" s="111" t="s">
        <v>3791</v>
      </c>
      <c r="R487" s="127"/>
      <c r="S487" s="112"/>
      <c r="T487" s="118"/>
      <c r="U487" s="112"/>
      <c r="V487" s="102"/>
      <c r="W487" s="102"/>
      <c r="X487" s="102"/>
      <c r="Y487" s="102"/>
      <c r="Z487" s="102"/>
      <c r="AA487" s="102"/>
      <c r="AB487" s="102"/>
      <c r="AC487" s="113"/>
      <c r="AD487" s="113"/>
      <c r="AE487" s="113"/>
    </row>
    <row r="488">
      <c r="A488" s="114">
        <v>7.290005604133E12</v>
      </c>
      <c r="B488" s="104" t="str">
        <f t="shared" si="1"/>
        <v>Prigat_Mango 1.5 liter Prigat</v>
      </c>
      <c r="C488" s="105">
        <v>0.08</v>
      </c>
      <c r="D488" s="105">
        <v>0.3</v>
      </c>
      <c r="E488" s="105">
        <v>0.08</v>
      </c>
      <c r="F488" s="106">
        <f>ROUND('Meta data'!$B$1/E488,0)</f>
        <v>4</v>
      </c>
      <c r="G488" s="107"/>
      <c r="H488" s="105" t="s">
        <v>3726</v>
      </c>
      <c r="I488" s="105" t="str">
        <f>IFERROR(__xludf.DUMMYFUNCTION("GOOGLETRANSLATE(H488,""he"",""en"")"),"Prigat")</f>
        <v>Prigat</v>
      </c>
      <c r="J488" s="105" t="s">
        <v>3800</v>
      </c>
      <c r="K488" s="105" t="str">
        <f>IFERROR(__xludf.DUMMYFUNCTION("GOOGLETRANSLATE(J488,""he"",""en"")"),"Mango 1.5 liter Prigat")</f>
        <v>Mango 1.5 liter Prigat</v>
      </c>
      <c r="L488" s="104" t="s">
        <v>3804</v>
      </c>
      <c r="M488" s="105" t="s">
        <v>6351</v>
      </c>
      <c r="N488" s="108" t="s">
        <v>6428</v>
      </c>
      <c r="O488" s="109"/>
      <c r="P488" s="109"/>
      <c r="Q488" s="111" t="s">
        <v>3803</v>
      </c>
      <c r="R488" s="127"/>
      <c r="S488" s="118"/>
      <c r="T488" s="112"/>
      <c r="U488" s="102"/>
      <c r="V488" s="102"/>
      <c r="W488" s="102"/>
      <c r="X488" s="102"/>
      <c r="Y488" s="102"/>
      <c r="Z488" s="102"/>
      <c r="AA488" s="102"/>
      <c r="AB488" s="102"/>
      <c r="AC488" s="113"/>
      <c r="AD488" s="113"/>
      <c r="AE488" s="113"/>
    </row>
    <row r="489">
      <c r="A489" s="114">
        <v>7.290002871446E12</v>
      </c>
      <c r="B489" s="104" t="str">
        <f t="shared" si="1"/>
        <v>Prigat_Grape 1.5 liter Prigat</v>
      </c>
      <c r="C489" s="105">
        <v>0.08</v>
      </c>
      <c r="D489" s="105">
        <v>0.3</v>
      </c>
      <c r="E489" s="105">
        <v>0.08</v>
      </c>
      <c r="F489" s="106">
        <f>ROUND('Meta data'!$B$1/E489,0)</f>
        <v>4</v>
      </c>
      <c r="G489" s="107"/>
      <c r="H489" s="105" t="s">
        <v>3726</v>
      </c>
      <c r="I489" s="105" t="str">
        <f>IFERROR(__xludf.DUMMYFUNCTION("GOOGLETRANSLATE(H489,""he"",""en"")"),"Prigat")</f>
        <v>Prigat</v>
      </c>
      <c r="J489" s="105" t="s">
        <v>3776</v>
      </c>
      <c r="K489" s="105" t="str">
        <f>IFERROR(__xludf.DUMMYFUNCTION("GOOGLETRANSLATE(J489,""he"",""en"")"),"Grape 1.5 liter Prigat")</f>
        <v>Grape 1.5 liter Prigat</v>
      </c>
      <c r="L489" s="104" t="s">
        <v>3780</v>
      </c>
      <c r="M489" s="105" t="s">
        <v>6351</v>
      </c>
      <c r="N489" s="108" t="s">
        <v>6428</v>
      </c>
      <c r="O489" s="109"/>
      <c r="P489" s="109"/>
      <c r="Q489" s="111" t="s">
        <v>3779</v>
      </c>
      <c r="R489" s="127"/>
      <c r="S489" s="118"/>
      <c r="T489" s="112"/>
      <c r="U489" s="102"/>
      <c r="V489" s="102"/>
      <c r="W489" s="102"/>
      <c r="X489" s="102"/>
      <c r="Y489" s="102"/>
      <c r="Z489" s="102"/>
      <c r="AA489" s="102"/>
      <c r="AB489" s="102"/>
      <c r="AC489" s="113"/>
      <c r="AD489" s="113"/>
      <c r="AE489" s="113"/>
    </row>
    <row r="490">
      <c r="A490" s="114">
        <v>7.290003667369E12</v>
      </c>
      <c r="B490" s="104" t="str">
        <f t="shared" si="1"/>
        <v>Prigat_Strawberry Banana Prigat 1.5 liters</v>
      </c>
      <c r="C490" s="105">
        <v>0.08</v>
      </c>
      <c r="D490" s="105">
        <v>0.3</v>
      </c>
      <c r="E490" s="105">
        <v>0.08</v>
      </c>
      <c r="F490" s="106">
        <f>ROUND('Meta data'!$B$1/E490,0)</f>
        <v>4</v>
      </c>
      <c r="G490" s="107"/>
      <c r="H490" s="105" t="s">
        <v>3726</v>
      </c>
      <c r="I490" s="105" t="str">
        <f>IFERROR(__xludf.DUMMYFUNCTION("GOOGLETRANSLATE(H490,""he"",""en"")"),"Prigat")</f>
        <v>Prigat</v>
      </c>
      <c r="J490" s="105" t="s">
        <v>3830</v>
      </c>
      <c r="K490" s="105" t="str">
        <f>IFERROR(__xludf.DUMMYFUNCTION("GOOGLETRANSLATE(J490,""he"",""en"")"),"Strawberry Banana Prigat 1.5 liters")</f>
        <v>Strawberry Banana Prigat 1.5 liters</v>
      </c>
      <c r="L490" s="104" t="s">
        <v>3834</v>
      </c>
      <c r="M490" s="105" t="s">
        <v>6351</v>
      </c>
      <c r="N490" s="108" t="s">
        <v>6428</v>
      </c>
      <c r="O490" s="109"/>
      <c r="P490" s="109"/>
      <c r="Q490" s="111" t="s">
        <v>3833</v>
      </c>
      <c r="R490" s="127"/>
      <c r="S490" s="118"/>
      <c r="T490" s="112"/>
      <c r="U490" s="102"/>
      <c r="V490" s="102"/>
      <c r="W490" s="102"/>
      <c r="X490" s="102"/>
      <c r="Y490" s="102"/>
      <c r="Z490" s="102"/>
      <c r="AA490" s="102"/>
      <c r="AB490" s="102"/>
      <c r="AC490" s="113"/>
      <c r="AD490" s="113"/>
      <c r="AE490" s="113"/>
    </row>
    <row r="491">
      <c r="A491" s="114">
        <v>7.29000287146E12</v>
      </c>
      <c r="B491" s="104" t="str">
        <f t="shared" si="1"/>
        <v>Prigat_Orange 1.5-liter Prigat</v>
      </c>
      <c r="C491" s="105">
        <v>0.08</v>
      </c>
      <c r="D491" s="105">
        <v>0.3</v>
      </c>
      <c r="E491" s="105">
        <v>0.08</v>
      </c>
      <c r="F491" s="106">
        <f>ROUND('Meta data'!$B$1/E491,0)</f>
        <v>4</v>
      </c>
      <c r="G491" s="107"/>
      <c r="H491" s="105" t="s">
        <v>3726</v>
      </c>
      <c r="I491" s="105" t="str">
        <f>IFERROR(__xludf.DUMMYFUNCTION("GOOGLETRANSLATE(H491,""he"",""en"")"),"Prigat")</f>
        <v>Prigat</v>
      </c>
      <c r="J491" s="105" t="s">
        <v>3806</v>
      </c>
      <c r="K491" s="105" t="str">
        <f>IFERROR(__xludf.DUMMYFUNCTION("GOOGLETRANSLATE(J491,""he"",""en"")"),"Orange 1.5-liter Prigat")</f>
        <v>Orange 1.5-liter Prigat</v>
      </c>
      <c r="L491" s="104" t="s">
        <v>3810</v>
      </c>
      <c r="M491" s="105" t="s">
        <v>6351</v>
      </c>
      <c r="N491" s="108" t="s">
        <v>6428</v>
      </c>
      <c r="O491" s="109"/>
      <c r="P491" s="109"/>
      <c r="Q491" s="111" t="s">
        <v>3809</v>
      </c>
      <c r="R491" s="127"/>
      <c r="S491" s="118"/>
      <c r="T491" s="112"/>
      <c r="U491" s="102"/>
      <c r="V491" s="102"/>
      <c r="W491" s="102"/>
      <c r="X491" s="102"/>
      <c r="Y491" s="102"/>
      <c r="Z491" s="102"/>
      <c r="AA491" s="102"/>
      <c r="AB491" s="102"/>
      <c r="AC491" s="113"/>
      <c r="AD491" s="113"/>
      <c r="AE491" s="113"/>
    </row>
    <row r="492">
      <c r="A492" s="114">
        <v>7.290004423353E12</v>
      </c>
      <c r="B492" s="104" t="str">
        <f t="shared" si="1"/>
        <v>Prigat_1.5 liters of apple Prigat</v>
      </c>
      <c r="C492" s="105">
        <v>0.08</v>
      </c>
      <c r="D492" s="105">
        <v>0.3</v>
      </c>
      <c r="E492" s="105">
        <v>0.08</v>
      </c>
      <c r="F492" s="106">
        <f>ROUND('Meta data'!$B$1/E492,0)</f>
        <v>4</v>
      </c>
      <c r="G492" s="107"/>
      <c r="H492" s="105" t="s">
        <v>3726</v>
      </c>
      <c r="I492" s="105" t="str">
        <f>IFERROR(__xludf.DUMMYFUNCTION("GOOGLETRANSLATE(H492,""he"",""en"")"),"Prigat")</f>
        <v>Prigat</v>
      </c>
      <c r="J492" s="105" t="s">
        <v>3729</v>
      </c>
      <c r="K492" s="105" t="str">
        <f>IFERROR(__xludf.DUMMYFUNCTION("GOOGLETRANSLATE(J492,""he"",""en"")"),"1.5 liters of apple Prigat")</f>
        <v>1.5 liters of apple Prigat</v>
      </c>
      <c r="L492" s="104" t="s">
        <v>3733</v>
      </c>
      <c r="M492" s="105" t="s">
        <v>6351</v>
      </c>
      <c r="N492" s="108" t="s">
        <v>6428</v>
      </c>
      <c r="O492" s="109"/>
      <c r="P492" s="109"/>
      <c r="Q492" s="111" t="s">
        <v>3732</v>
      </c>
      <c r="R492" s="111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2"/>
      <c r="AC492" s="113"/>
      <c r="AD492" s="113"/>
      <c r="AE492" s="113"/>
    </row>
    <row r="493">
      <c r="A493" s="114">
        <v>7.290001594391E12</v>
      </c>
      <c r="B493" s="104" t="str">
        <f t="shared" si="1"/>
        <v>Prigat_Grape 500m Prigat "</v>
      </c>
      <c r="C493" s="105">
        <v>0.06</v>
      </c>
      <c r="D493" s="105">
        <v>0.193</v>
      </c>
      <c r="E493" s="105">
        <v>0.06</v>
      </c>
      <c r="F493" s="106">
        <f>ROUND('Meta data'!$B$1/E493,0)</f>
        <v>5</v>
      </c>
      <c r="G493" s="107"/>
      <c r="H493" s="105" t="s">
        <v>3726</v>
      </c>
      <c r="I493" s="105" t="str">
        <f>IFERROR(__xludf.DUMMYFUNCTION("GOOGLETRANSLATE(H493,""he"",""en"")"),"Prigat")</f>
        <v>Prigat</v>
      </c>
      <c r="J493" s="105" t="s">
        <v>3782</v>
      </c>
      <c r="K493" s="105" t="str">
        <f>IFERROR(__xludf.DUMMYFUNCTION("GOOGLETRANSLATE(J493,""he"",""en"")"),"Grape 500m Prigat """)</f>
        <v>Grape 500m Prigat "</v>
      </c>
      <c r="L493" s="104" t="s">
        <v>3786</v>
      </c>
      <c r="M493" s="105" t="s">
        <v>6304</v>
      </c>
      <c r="N493" s="108" t="s">
        <v>6521</v>
      </c>
      <c r="O493" s="109"/>
      <c r="P493" s="109"/>
      <c r="Q493" s="111" t="s">
        <v>3785</v>
      </c>
      <c r="R493" s="111"/>
      <c r="S493" s="118"/>
      <c r="T493" s="112"/>
      <c r="U493" s="102"/>
      <c r="V493" s="102"/>
      <c r="W493" s="102"/>
      <c r="X493" s="102"/>
      <c r="Y493" s="102"/>
      <c r="Z493" s="102"/>
      <c r="AA493" s="102"/>
      <c r="AB493" s="102"/>
      <c r="AC493" s="113"/>
      <c r="AD493" s="113"/>
      <c r="AE493" s="113"/>
    </row>
    <row r="494">
      <c r="A494" s="114">
        <v>7.290001045633E12</v>
      </c>
      <c r="B494" s="104" t="str">
        <f t="shared" si="1"/>
        <v>Primor_Lemon juice and mint Primor, 400 ml</v>
      </c>
      <c r="C494" s="105">
        <v>0.07</v>
      </c>
      <c r="D494" s="105">
        <v>0.19</v>
      </c>
      <c r="E494" s="105">
        <v>0.045</v>
      </c>
      <c r="F494" s="106">
        <f>ROUND('Meta data'!$B$1/E494,0)</f>
        <v>7</v>
      </c>
      <c r="G494" s="107"/>
      <c r="H494" s="105" t="s">
        <v>3842</v>
      </c>
      <c r="I494" s="105" t="str">
        <f>IFERROR(__xludf.DUMMYFUNCTION("GOOGLETRANSLATE(H494,""he"",""en"")"),"Primor")</f>
        <v>Primor</v>
      </c>
      <c r="J494" s="105" t="s">
        <v>3844</v>
      </c>
      <c r="K494" s="105" t="str">
        <f>IFERROR(__xludf.DUMMYFUNCTION("GOOGLETRANSLATE(J494,""he"",""en"")"),"Lemon juice and mint Primor, 400 ml")</f>
        <v>Lemon juice and mint Primor, 400 ml</v>
      </c>
      <c r="L494" s="104" t="s">
        <v>3848</v>
      </c>
      <c r="M494" s="105" t="s">
        <v>6351</v>
      </c>
      <c r="N494" s="108" t="s">
        <v>6352</v>
      </c>
      <c r="O494" s="109"/>
      <c r="P494" s="109"/>
      <c r="Q494" s="111" t="s">
        <v>3847</v>
      </c>
      <c r="R494" s="111"/>
      <c r="S494" s="112"/>
      <c r="T494" s="112"/>
      <c r="U494" s="112"/>
      <c r="V494" s="102"/>
      <c r="W494" s="102"/>
      <c r="X494" s="102"/>
      <c r="Y494" s="102"/>
      <c r="Z494" s="102"/>
      <c r="AA494" s="102"/>
      <c r="AB494" s="102"/>
      <c r="AC494" s="113"/>
      <c r="AD494" s="113"/>
      <c r="AE494" s="113"/>
    </row>
    <row r="495">
      <c r="A495" s="114">
        <v>7.290001045688E12</v>
      </c>
      <c r="B495" s="104" t="str">
        <f t="shared" si="1"/>
        <v>Primor_Primor squeezed orange juice, 400 ml</v>
      </c>
      <c r="C495" s="105">
        <v>0.07</v>
      </c>
      <c r="D495" s="105">
        <v>0.19</v>
      </c>
      <c r="E495" s="105">
        <v>0.045</v>
      </c>
      <c r="F495" s="106">
        <f>ROUND('Meta data'!$B$1/E495,0)</f>
        <v>7</v>
      </c>
      <c r="G495" s="107"/>
      <c r="H495" s="105" t="s">
        <v>3842</v>
      </c>
      <c r="I495" s="105" t="str">
        <f>IFERROR(__xludf.DUMMYFUNCTION("GOOGLETRANSLATE(H495,""he"",""en"")"),"Primor")</f>
        <v>Primor</v>
      </c>
      <c r="J495" s="105" t="s">
        <v>3856</v>
      </c>
      <c r="K495" s="105" t="str">
        <f>IFERROR(__xludf.DUMMYFUNCTION("GOOGLETRANSLATE(J495,""he"",""en"")"),"Primor squeezed orange juice, 400 ml")</f>
        <v>Primor squeezed orange juice, 400 ml</v>
      </c>
      <c r="L495" s="104" t="s">
        <v>3860</v>
      </c>
      <c r="M495" s="105" t="s">
        <v>6351</v>
      </c>
      <c r="N495" s="108" t="s">
        <v>6352</v>
      </c>
      <c r="O495" s="109"/>
      <c r="P495" s="109"/>
      <c r="Q495" s="111" t="s">
        <v>3859</v>
      </c>
      <c r="R495" s="111"/>
      <c r="S495" s="118"/>
      <c r="T495" s="112"/>
      <c r="U495" s="102"/>
      <c r="V495" s="102"/>
      <c r="W495" s="102"/>
      <c r="X495" s="102"/>
      <c r="Y495" s="102"/>
      <c r="Z495" s="102"/>
      <c r="AA495" s="102"/>
      <c r="AB495" s="102"/>
      <c r="AC495" s="113"/>
      <c r="AD495" s="113"/>
      <c r="AE495" s="113"/>
    </row>
    <row r="496">
      <c r="A496" s="114">
        <v>7.290001045657E12</v>
      </c>
      <c r="B496" s="104" t="str">
        <f t="shared" si="1"/>
        <v>Primor_Primor clear apple juice, 400 ml</v>
      </c>
      <c r="C496" s="105">
        <v>0.07</v>
      </c>
      <c r="D496" s="105">
        <v>0.19</v>
      </c>
      <c r="E496" s="105">
        <v>0.045</v>
      </c>
      <c r="F496" s="106">
        <f>ROUND('Meta data'!$B$1/E496,0)</f>
        <v>7</v>
      </c>
      <c r="G496" s="107"/>
      <c r="H496" s="105" t="s">
        <v>3842</v>
      </c>
      <c r="I496" s="105" t="str">
        <f>IFERROR(__xludf.DUMMYFUNCTION("GOOGLETRANSLATE(H496,""he"",""en"")"),"Primor")</f>
        <v>Primor</v>
      </c>
      <c r="J496" s="105" t="s">
        <v>3850</v>
      </c>
      <c r="K496" s="105" t="str">
        <f>IFERROR(__xludf.DUMMYFUNCTION("GOOGLETRANSLATE(J496,""he"",""en"")"),"Primor clear apple juice, 400 ml")</f>
        <v>Primor clear apple juice, 400 ml</v>
      </c>
      <c r="L496" s="104" t="s">
        <v>3854</v>
      </c>
      <c r="M496" s="105" t="s">
        <v>6351</v>
      </c>
      <c r="N496" s="108" t="s">
        <v>6352</v>
      </c>
      <c r="O496" s="109"/>
      <c r="P496" s="109"/>
      <c r="Q496" s="111" t="s">
        <v>3853</v>
      </c>
      <c r="R496" s="111"/>
      <c r="S496" s="112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13"/>
      <c r="AD496" s="113"/>
      <c r="AE496" s="113"/>
    </row>
    <row r="497">
      <c r="A497" s="114">
        <v>3.8000138416E10</v>
      </c>
      <c r="B497" s="104" t="str">
        <f t="shared" si="1"/>
        <v>Pringles_Pringles Original 149 g</v>
      </c>
      <c r="C497" s="105">
        <v>0.08</v>
      </c>
      <c r="D497" s="105">
        <v>0.27</v>
      </c>
      <c r="E497" s="105">
        <v>0.08</v>
      </c>
      <c r="F497" s="106">
        <f>ROUND('Meta data'!$B$1/E497,0)</f>
        <v>4</v>
      </c>
      <c r="G497" s="107"/>
      <c r="H497" s="105" t="s">
        <v>3862</v>
      </c>
      <c r="I497" s="105" t="str">
        <f>IFERROR(__xludf.DUMMYFUNCTION("GOOGLETRANSLATE(H497,""he"",""en"")"),"Pringles")</f>
        <v>Pringles</v>
      </c>
      <c r="J497" s="105" t="s">
        <v>3885</v>
      </c>
      <c r="K497" s="105" t="str">
        <f>IFERROR(__xludf.DUMMYFUNCTION("GOOGLETRANSLATE(J497,""he"",""en"")"),"Pringles Original 149 g")</f>
        <v>Pringles Original 149 g</v>
      </c>
      <c r="L497" s="104" t="s">
        <v>3887</v>
      </c>
      <c r="M497" s="105" t="s">
        <v>6309</v>
      </c>
      <c r="N497" s="108" t="s">
        <v>6473</v>
      </c>
      <c r="O497" s="109"/>
      <c r="P497" s="109"/>
      <c r="Q497" s="115" t="s">
        <v>3888</v>
      </c>
      <c r="R497" s="116"/>
      <c r="S497" s="118"/>
      <c r="T497" s="117"/>
      <c r="U497" s="102"/>
      <c r="V497" s="102"/>
      <c r="W497" s="102"/>
      <c r="X497" s="102"/>
      <c r="Y497" s="102"/>
      <c r="Z497" s="102"/>
      <c r="AA497" s="102"/>
      <c r="AB497" s="102"/>
      <c r="AC497" s="113"/>
      <c r="AD497" s="113"/>
      <c r="AE497" s="113"/>
    </row>
    <row r="498">
      <c r="A498" s="114">
        <v>3.8000845246E10</v>
      </c>
      <c r="B498" s="104" t="str">
        <f t="shared" si="1"/>
        <v>Pringles_Pringles Original 67 g</v>
      </c>
      <c r="C498" s="105">
        <v>0.08</v>
      </c>
      <c r="D498" s="105">
        <v>0.13</v>
      </c>
      <c r="E498" s="105">
        <v>0.08</v>
      </c>
      <c r="F498" s="106">
        <f>ROUND('Meta data'!$B$1/E498,0)</f>
        <v>4</v>
      </c>
      <c r="G498" s="107"/>
      <c r="H498" s="105" t="s">
        <v>3862</v>
      </c>
      <c r="I498" s="105" t="str">
        <f>IFERROR(__xludf.DUMMYFUNCTION("GOOGLETRANSLATE(H498,""he"",""en"")"),"Pringles")</f>
        <v>Pringles</v>
      </c>
      <c r="J498" s="105" t="s">
        <v>3890</v>
      </c>
      <c r="K498" s="105" t="str">
        <f>IFERROR(__xludf.DUMMYFUNCTION("GOOGLETRANSLATE(J498,""he"",""en"")"),"Pringles Original 67 g")</f>
        <v>Pringles Original 67 g</v>
      </c>
      <c r="L498" s="104" t="s">
        <v>3892</v>
      </c>
      <c r="M498" s="105" t="s">
        <v>6309</v>
      </c>
      <c r="N498" s="108" t="s">
        <v>6473</v>
      </c>
      <c r="O498" s="109"/>
      <c r="P498" s="109"/>
      <c r="Q498" s="115" t="s">
        <v>3893</v>
      </c>
      <c r="R498" s="115"/>
      <c r="S498" s="117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13"/>
      <c r="AD498" s="113"/>
      <c r="AE498" s="113"/>
    </row>
    <row r="499">
      <c r="A499" s="114">
        <v>3.8000183713E10</v>
      </c>
      <c r="B499" s="104" t="str">
        <f t="shared" si="1"/>
        <v>Pringles_158 grams of barbecue Pringles</v>
      </c>
      <c r="C499" s="105">
        <v>0.08</v>
      </c>
      <c r="D499" s="105">
        <v>0.27</v>
      </c>
      <c r="E499" s="105">
        <v>0.08</v>
      </c>
      <c r="F499" s="106">
        <f>ROUND('Meta data'!$B$1/E499,0)</f>
        <v>4</v>
      </c>
      <c r="G499" s="107"/>
      <c r="H499" s="105" t="s">
        <v>3862</v>
      </c>
      <c r="I499" s="105" t="str">
        <f>IFERROR(__xludf.DUMMYFUNCTION("GOOGLETRANSLATE(H499,""he"",""en"")"),"Pringles")</f>
        <v>Pringles</v>
      </c>
      <c r="J499" s="105" t="s">
        <v>3864</v>
      </c>
      <c r="K499" s="105" t="str">
        <f>IFERROR(__xludf.DUMMYFUNCTION("GOOGLETRANSLATE(J499,""he"",""en"")"),"158 grams of barbecue Pringles")</f>
        <v>158 grams of barbecue Pringles</v>
      </c>
      <c r="L499" s="104" t="s">
        <v>3866</v>
      </c>
      <c r="M499" s="105" t="s">
        <v>6309</v>
      </c>
      <c r="N499" s="108" t="s">
        <v>6473</v>
      </c>
      <c r="O499" s="109"/>
      <c r="P499" s="109"/>
      <c r="Q499" s="115" t="s">
        <v>3868</v>
      </c>
      <c r="R499" s="116"/>
      <c r="S499" s="117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13"/>
      <c r="AD499" s="113"/>
      <c r="AE499" s="113"/>
    </row>
    <row r="500">
      <c r="A500" s="114">
        <v>3.800018369E10</v>
      </c>
      <c r="B500" s="104" t="str">
        <f t="shared" si="1"/>
        <v>Pringles_Pringles barbecue every 74 grams of lactic</v>
      </c>
      <c r="C500" s="105">
        <v>0.085</v>
      </c>
      <c r="D500" s="105">
        <v>0.13</v>
      </c>
      <c r="E500" s="105">
        <v>0.08</v>
      </c>
      <c r="F500" s="106">
        <f>ROUND('Meta data'!$B$1/E500,0)</f>
        <v>4</v>
      </c>
      <c r="G500" s="107"/>
      <c r="H500" s="105" t="s">
        <v>3862</v>
      </c>
      <c r="I500" s="105" t="str">
        <f>IFERROR(__xludf.DUMMYFUNCTION("GOOGLETRANSLATE(H500,""he"",""en"")"),"Pringles")</f>
        <v>Pringles</v>
      </c>
      <c r="J500" s="105" t="s">
        <v>3880</v>
      </c>
      <c r="K500" s="105" t="str">
        <f>IFERROR(__xludf.DUMMYFUNCTION("GOOGLETRANSLATE(J500,""he"",""en"")"),"Pringles barbecue every 74 grams of lactic")</f>
        <v>Pringles barbecue every 74 grams of lactic</v>
      </c>
      <c r="L500" s="104" t="s">
        <v>3882</v>
      </c>
      <c r="M500" s="105" t="s">
        <v>6309</v>
      </c>
      <c r="N500" s="108" t="s">
        <v>6473</v>
      </c>
      <c r="O500" s="109"/>
      <c r="P500" s="109"/>
      <c r="Q500" s="115" t="s">
        <v>3883</v>
      </c>
      <c r="R500" s="116"/>
      <c r="S500" s="117"/>
      <c r="T500" s="117"/>
      <c r="U500" s="117"/>
      <c r="V500" s="102"/>
      <c r="W500" s="102"/>
      <c r="X500" s="102"/>
      <c r="Y500" s="102"/>
      <c r="Z500" s="102"/>
      <c r="AA500" s="102"/>
      <c r="AB500" s="102"/>
      <c r="AC500" s="113"/>
      <c r="AD500" s="113"/>
      <c r="AE500" s="113"/>
    </row>
    <row r="501">
      <c r="A501" s="114">
        <v>3.8000845253E10</v>
      </c>
      <c r="B501" s="104" t="str">
        <f t="shared" si="1"/>
        <v>Pringles_Cream and onion Pringles every 71 grams</v>
      </c>
      <c r="C501" s="105">
        <v>0.08</v>
      </c>
      <c r="D501" s="105">
        <v>0.13</v>
      </c>
      <c r="E501" s="105">
        <v>0.08</v>
      </c>
      <c r="F501" s="106">
        <f>ROUND('Meta data'!$B$1/E501,0)</f>
        <v>4</v>
      </c>
      <c r="G501" s="107"/>
      <c r="H501" s="105" t="s">
        <v>3862</v>
      </c>
      <c r="I501" s="105" t="str">
        <f>IFERROR(__xludf.DUMMYFUNCTION("GOOGLETRANSLATE(H501,""he"",""en"")"),"Pringles")</f>
        <v>Pringles</v>
      </c>
      <c r="J501" s="105" t="s">
        <v>3875</v>
      </c>
      <c r="K501" s="105" t="str">
        <f>IFERROR(__xludf.DUMMYFUNCTION("GOOGLETRANSLATE(J501,""he"",""en"")"),"Cream and onion Pringles every 71 grams")</f>
        <v>Cream and onion Pringles every 71 grams</v>
      </c>
      <c r="L501" s="104" t="s">
        <v>3877</v>
      </c>
      <c r="M501" s="105" t="s">
        <v>6309</v>
      </c>
      <c r="N501" s="108" t="s">
        <v>6473</v>
      </c>
      <c r="O501" s="109"/>
      <c r="P501" s="109"/>
      <c r="Q501" s="115" t="s">
        <v>3878</v>
      </c>
      <c r="R501" s="116"/>
      <c r="S501" s="117"/>
      <c r="T501" s="118"/>
      <c r="U501" s="117"/>
      <c r="V501" s="102"/>
      <c r="W501" s="102"/>
      <c r="X501" s="102"/>
      <c r="Y501" s="102"/>
      <c r="Z501" s="102"/>
      <c r="AA501" s="102"/>
      <c r="AB501" s="102"/>
      <c r="AC501" s="113"/>
      <c r="AD501" s="113"/>
      <c r="AE501" s="113"/>
    </row>
    <row r="502">
      <c r="A502" s="114">
        <v>3.800013843E10</v>
      </c>
      <c r="B502" s="104" t="str">
        <f t="shared" si="1"/>
        <v>Pringles_Cream and onion Pringles 158 grams</v>
      </c>
      <c r="C502" s="105">
        <v>0.08</v>
      </c>
      <c r="D502" s="105">
        <v>0.27</v>
      </c>
      <c r="E502" s="105">
        <v>0.08</v>
      </c>
      <c r="F502" s="106">
        <f>ROUND('Meta data'!$B$1/E502,0)</f>
        <v>4</v>
      </c>
      <c r="G502" s="107"/>
      <c r="H502" s="105" t="s">
        <v>3862</v>
      </c>
      <c r="I502" s="105" t="str">
        <f>IFERROR(__xludf.DUMMYFUNCTION("GOOGLETRANSLATE(H502,""he"",""en"")"),"Pringles")</f>
        <v>Pringles</v>
      </c>
      <c r="J502" s="105" t="s">
        <v>3870</v>
      </c>
      <c r="K502" s="105" t="str">
        <f>IFERROR(__xludf.DUMMYFUNCTION("GOOGLETRANSLATE(J502,""he"",""en"")"),"Cream and onion Pringles 158 grams")</f>
        <v>Cream and onion Pringles 158 grams</v>
      </c>
      <c r="L502" s="104" t="s">
        <v>3872</v>
      </c>
      <c r="M502" s="105" t="s">
        <v>6309</v>
      </c>
      <c r="N502" s="108" t="s">
        <v>6473</v>
      </c>
      <c r="O502" s="109"/>
      <c r="P502" s="109"/>
      <c r="Q502" s="115" t="s">
        <v>3873</v>
      </c>
      <c r="R502" s="116"/>
      <c r="S502" s="124"/>
      <c r="T502" s="118"/>
      <c r="U502" s="117"/>
      <c r="V502" s="102"/>
      <c r="W502" s="102"/>
      <c r="X502" s="102"/>
      <c r="Y502" s="102"/>
      <c r="Z502" s="102"/>
      <c r="AA502" s="102"/>
      <c r="AB502" s="102"/>
      <c r="AC502" s="113"/>
      <c r="AD502" s="113"/>
      <c r="AE502" s="113"/>
    </row>
    <row r="503">
      <c r="A503" s="114">
        <v>3.179730011024E12</v>
      </c>
      <c r="B503" s="104" t="str">
        <f t="shared" si="1"/>
        <v>Priya_Perrier Sparkling Natural Mineral Water</v>
      </c>
      <c r="C503" s="105">
        <v>0.057</v>
      </c>
      <c r="D503" s="105">
        <v>0.14</v>
      </c>
      <c r="E503" s="105">
        <v>0.057</v>
      </c>
      <c r="F503" s="106">
        <f>ROUND('Meta data'!$B$1/E503,0)</f>
        <v>5</v>
      </c>
      <c r="G503" s="107"/>
      <c r="H503" s="105" t="s">
        <v>3363</v>
      </c>
      <c r="I503" s="105" t="str">
        <f>IFERROR(__xludf.DUMMYFUNCTION("GOOGLETRANSLATE(H503,""he"",""en"")"),"Priya")</f>
        <v>Priya</v>
      </c>
      <c r="J503" s="105" t="s">
        <v>3373</v>
      </c>
      <c r="K503" s="105" t="str">
        <f>IFERROR(__xludf.DUMMYFUNCTION("GOOGLETRANSLATE(J503,""he"",""en"")"),"Perrier Sparkling Natural Mineral Water")</f>
        <v>Perrier Sparkling Natural Mineral Water</v>
      </c>
      <c r="L503" s="104" t="s">
        <v>3377</v>
      </c>
      <c r="M503" s="105" t="s">
        <v>6406</v>
      </c>
      <c r="N503" s="108" t="s">
        <v>6407</v>
      </c>
      <c r="O503" s="109"/>
      <c r="P503" s="109"/>
      <c r="Q503" s="115" t="s">
        <v>3376</v>
      </c>
      <c r="R503" s="116"/>
      <c r="S503" s="118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13"/>
      <c r="AD503" s="113"/>
      <c r="AE503" s="113"/>
    </row>
    <row r="504">
      <c r="A504" s="114">
        <v>7.613036280327E12</v>
      </c>
      <c r="B504" s="104" t="str">
        <f t="shared" si="1"/>
        <v>Priya_Paraiba End Goose can cherry peach</v>
      </c>
      <c r="C504" s="105">
        <v>0.05</v>
      </c>
      <c r="D504" s="105">
        <v>0.135</v>
      </c>
      <c r="E504" s="105">
        <v>0.05</v>
      </c>
      <c r="F504" s="106">
        <f>ROUND('Meta data'!$B$1/E504,0)</f>
        <v>6</v>
      </c>
      <c r="G504" s="107"/>
      <c r="H504" s="105" t="s">
        <v>3363</v>
      </c>
      <c r="I504" s="105" t="str">
        <f>IFERROR(__xludf.DUMMYFUNCTION("GOOGLETRANSLATE(H504,""he"",""en"")"),"Priya")</f>
        <v>Priya</v>
      </c>
      <c r="J504" s="105" t="s">
        <v>3366</v>
      </c>
      <c r="K504" s="105" t="str">
        <f>IFERROR(__xludf.DUMMYFUNCTION("GOOGLETRANSLATE(J504,""he"",""en"")"),"Paraiba End Goose can cherry peach")</f>
        <v>Paraiba End Goose can cherry peach</v>
      </c>
      <c r="L504" s="104" t="s">
        <v>3370</v>
      </c>
      <c r="M504" s="105" t="s">
        <v>6496</v>
      </c>
      <c r="N504" s="108" t="s">
        <v>6497</v>
      </c>
      <c r="O504" s="109"/>
      <c r="P504" s="109"/>
      <c r="Q504" s="115" t="s">
        <v>3369</v>
      </c>
      <c r="R504" s="116"/>
      <c r="S504" s="117"/>
      <c r="T504" s="117"/>
      <c r="U504" s="117"/>
      <c r="V504" s="118"/>
      <c r="W504" s="102"/>
      <c r="X504" s="102"/>
      <c r="Y504" s="102"/>
      <c r="Z504" s="102"/>
      <c r="AA504" s="102"/>
      <c r="AB504" s="102"/>
      <c r="AC504" s="113"/>
      <c r="AD504" s="113"/>
      <c r="AE504" s="113"/>
    </row>
    <row r="505">
      <c r="A505" s="114">
        <v>7.613036286008E12</v>
      </c>
      <c r="B505" s="104" t="str">
        <f t="shared" si="1"/>
        <v>Priya_Priya End Goose mango pineapple can</v>
      </c>
      <c r="C505" s="105">
        <v>0.05</v>
      </c>
      <c r="D505" s="105">
        <v>0.135</v>
      </c>
      <c r="E505" s="105">
        <v>0.05</v>
      </c>
      <c r="F505" s="106">
        <f>ROUND('Meta data'!$B$1/E505,0)</f>
        <v>6</v>
      </c>
      <c r="G505" s="107"/>
      <c r="H505" s="105" t="s">
        <v>3363</v>
      </c>
      <c r="I505" s="105" t="str">
        <f>IFERROR(__xludf.DUMMYFUNCTION("GOOGLETRANSLATE(H505,""he"",""en"")"),"Priya")</f>
        <v>Priya</v>
      </c>
      <c r="J505" s="105" t="s">
        <v>3379</v>
      </c>
      <c r="K505" s="105" t="str">
        <f>IFERROR(__xludf.DUMMYFUNCTION("GOOGLETRANSLATE(J505,""he"",""en"")"),"Priya End Goose mango pineapple can")</f>
        <v>Priya End Goose mango pineapple can</v>
      </c>
      <c r="L505" s="104" t="s">
        <v>3383</v>
      </c>
      <c r="M505" s="105" t="s">
        <v>6496</v>
      </c>
      <c r="N505" s="108" t="s">
        <v>6497</v>
      </c>
      <c r="O505" s="109"/>
      <c r="P505" s="109"/>
      <c r="Q505" s="115" t="s">
        <v>3382</v>
      </c>
      <c r="R505" s="116"/>
      <c r="S505" s="117"/>
      <c r="T505" s="118"/>
      <c r="U505" s="117"/>
      <c r="V505" s="102"/>
      <c r="W505" s="102"/>
      <c r="X505" s="102"/>
      <c r="Y505" s="102"/>
      <c r="Z505" s="102"/>
      <c r="AA505" s="102"/>
      <c r="AB505" s="102"/>
      <c r="AC505" s="113"/>
      <c r="AD505" s="113"/>
      <c r="AE505" s="113"/>
    </row>
    <row r="506">
      <c r="A506" s="114">
        <v>8.0050124E7</v>
      </c>
      <c r="B506" s="104" t="str">
        <f t="shared" si="1"/>
        <v>Tic-Tac_Tic Tac mints</v>
      </c>
      <c r="C506" s="105">
        <v>0.037</v>
      </c>
      <c r="D506" s="105">
        <v>0.061</v>
      </c>
      <c r="E506" s="105">
        <v>0.02</v>
      </c>
      <c r="F506" s="106">
        <f>ROUND('Meta data'!$B$1/E506,0)</f>
        <v>15</v>
      </c>
      <c r="G506" s="107"/>
      <c r="H506" s="105" t="s">
        <v>4716</v>
      </c>
      <c r="I506" s="119" t="s">
        <v>6573</v>
      </c>
      <c r="J506" s="105" t="s">
        <v>4718</v>
      </c>
      <c r="K506" s="105" t="str">
        <f>IFERROR(__xludf.DUMMYFUNCTION("GOOGLETRANSLATE(J506,""he"",""en"")"),"Tic Tac mints")</f>
        <v>Tic Tac mints</v>
      </c>
      <c r="L506" s="104" t="s">
        <v>4723</v>
      </c>
      <c r="M506" s="105" t="s">
        <v>6410</v>
      </c>
      <c r="N506" s="108" t="s">
        <v>6574</v>
      </c>
      <c r="O506" s="109"/>
      <c r="P506" s="109"/>
      <c r="Q506" s="115" t="s">
        <v>4722</v>
      </c>
      <c r="R506" s="116"/>
      <c r="S506" s="117"/>
      <c r="T506" s="117"/>
      <c r="U506" s="118"/>
      <c r="V506" s="117"/>
      <c r="W506" s="102"/>
      <c r="X506" s="102"/>
      <c r="Y506" s="102"/>
      <c r="Z506" s="102"/>
      <c r="AA506" s="102"/>
      <c r="AB506" s="102"/>
      <c r="AC506" s="113"/>
      <c r="AD506" s="113"/>
      <c r="AE506" s="113"/>
    </row>
    <row r="507">
      <c r="A507" s="114">
        <v>8.0050025E7</v>
      </c>
      <c r="B507" s="104" t="str">
        <f t="shared" si="1"/>
        <v>Tic-Tac_Tic Tac orange</v>
      </c>
      <c r="C507" s="105">
        <v>0.037</v>
      </c>
      <c r="D507" s="105">
        <v>0.061</v>
      </c>
      <c r="E507" s="105">
        <v>0.02</v>
      </c>
      <c r="F507" s="106">
        <f>ROUND('Meta data'!$B$1/E507,0)</f>
        <v>15</v>
      </c>
      <c r="G507" s="107"/>
      <c r="H507" s="105" t="s">
        <v>4716</v>
      </c>
      <c r="I507" s="119" t="s">
        <v>6573</v>
      </c>
      <c r="J507" s="105" t="s">
        <v>4725</v>
      </c>
      <c r="K507" s="105" t="str">
        <f>IFERROR(__xludf.DUMMYFUNCTION("GOOGLETRANSLATE(J507,""he"",""en"")"),"Tic Tac orange")</f>
        <v>Tic Tac orange</v>
      </c>
      <c r="L507" s="104" t="s">
        <v>4729</v>
      </c>
      <c r="M507" s="105" t="s">
        <v>6410</v>
      </c>
      <c r="N507" s="108" t="s">
        <v>6574</v>
      </c>
      <c r="O507" s="109"/>
      <c r="P507" s="109"/>
      <c r="Q507" s="111" t="s">
        <v>4728</v>
      </c>
      <c r="R507" s="111"/>
      <c r="S507" s="112"/>
      <c r="T507" s="118"/>
      <c r="U507" s="112"/>
      <c r="V507" s="102"/>
      <c r="W507" s="102"/>
      <c r="X507" s="102"/>
      <c r="Y507" s="102"/>
      <c r="Z507" s="102"/>
      <c r="AA507" s="102"/>
      <c r="AB507" s="102"/>
      <c r="AC507" s="113"/>
      <c r="AD507" s="113"/>
      <c r="AE507" s="113"/>
    </row>
    <row r="508">
      <c r="A508" s="114">
        <v>7.2917367E7</v>
      </c>
      <c r="B508" s="104" t="str">
        <f t="shared" si="1"/>
        <v>Taami_Taami 40 g flavors</v>
      </c>
      <c r="C508" s="105">
        <v>0.135</v>
      </c>
      <c r="D508" s="105">
        <v>0.05</v>
      </c>
      <c r="E508" s="105">
        <v>0.02</v>
      </c>
      <c r="F508" s="106">
        <f>ROUND('Meta data'!$B$1/E508,0)</f>
        <v>15</v>
      </c>
      <c r="G508" s="107"/>
      <c r="H508" s="105" t="s">
        <v>4553</v>
      </c>
      <c r="I508" s="119" t="s">
        <v>4554</v>
      </c>
      <c r="J508" s="105" t="s">
        <v>4555</v>
      </c>
      <c r="K508" s="119" t="s">
        <v>6575</v>
      </c>
      <c r="L508" s="104" t="s">
        <v>4559</v>
      </c>
      <c r="M508" s="105" t="s">
        <v>6302</v>
      </c>
      <c r="N508" s="108" t="s">
        <v>6303</v>
      </c>
      <c r="O508" s="109"/>
      <c r="P508" s="109"/>
      <c r="Q508" s="111" t="s">
        <v>4558</v>
      </c>
      <c r="R508" s="115"/>
      <c r="S508" s="112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13"/>
      <c r="AD508" s="113"/>
      <c r="AE508" s="113"/>
    </row>
    <row r="509">
      <c r="A509" s="114">
        <v>9.01628E7</v>
      </c>
      <c r="B509" s="104" t="str">
        <f t="shared" si="1"/>
        <v>Red-Bull_Red Bull Sugar Free Energy Drink 30 deposit bond</v>
      </c>
      <c r="C509" s="105">
        <v>0.053</v>
      </c>
      <c r="D509" s="105">
        <v>0.134</v>
      </c>
      <c r="E509" s="105">
        <v>0.053</v>
      </c>
      <c r="F509" s="106">
        <f>ROUND('Meta data'!$B$1/E509,0)</f>
        <v>6</v>
      </c>
      <c r="G509" s="107"/>
      <c r="H509" s="105" t="s">
        <v>3938</v>
      </c>
      <c r="I509" s="105" t="str">
        <f>IFERROR(__xludf.DUMMYFUNCTION("GOOGLETRANSLATE(H509,""he"",""en"")"),"Red Bull")</f>
        <v>Red Bull</v>
      </c>
      <c r="J509" s="105" t="s">
        <v>3945</v>
      </c>
      <c r="K509" s="105" t="str">
        <f>IFERROR(__xludf.DUMMYFUNCTION("GOOGLETRANSLATE(J509,""he"",""en"")"),"Red Bull Sugar Free Energy Drink 30 deposit bond")</f>
        <v>Red Bull Sugar Free Energy Drink 30 deposit bond</v>
      </c>
      <c r="L509" s="104" t="s">
        <v>3949</v>
      </c>
      <c r="M509" s="105" t="s">
        <v>6329</v>
      </c>
      <c r="N509" s="108" t="s">
        <v>6334</v>
      </c>
      <c r="O509" s="109"/>
      <c r="P509" s="109"/>
      <c r="Q509" s="115" t="s">
        <v>3948</v>
      </c>
      <c r="R509" s="116"/>
      <c r="S509" s="118"/>
      <c r="T509" s="117"/>
      <c r="U509" s="102"/>
      <c r="V509" s="102"/>
      <c r="W509" s="102"/>
      <c r="X509" s="102"/>
      <c r="Y509" s="102"/>
      <c r="Z509" s="102"/>
      <c r="AA509" s="102"/>
      <c r="AB509" s="102"/>
      <c r="AC509" s="113"/>
      <c r="AD509" s="113"/>
      <c r="AE509" s="113"/>
    </row>
    <row r="510">
      <c r="A510" s="114">
        <v>44248.0</v>
      </c>
      <c r="B510" s="104" t="str">
        <f t="shared" si="1"/>
        <v>Revion_Tnuva white Revion pasteurized milk 1.5%</v>
      </c>
      <c r="C510" s="105">
        <v>0.073</v>
      </c>
      <c r="D510" s="105">
        <v>0.14</v>
      </c>
      <c r="E510" s="105">
        <v>0.073</v>
      </c>
      <c r="F510" s="106">
        <f>ROUND('Meta data'!$B$1/E510,0)</f>
        <v>4</v>
      </c>
      <c r="G510" s="107"/>
      <c r="H510" s="105" t="s">
        <v>4004</v>
      </c>
      <c r="I510" s="119" t="s">
        <v>6576</v>
      </c>
      <c r="J510" s="105" t="s">
        <v>4006</v>
      </c>
      <c r="K510" s="119" t="s">
        <v>6577</v>
      </c>
      <c r="L510" s="104" t="s">
        <v>4011</v>
      </c>
      <c r="M510" s="105" t="s">
        <v>6437</v>
      </c>
      <c r="N510" s="108" t="s">
        <v>6578</v>
      </c>
      <c r="O510" s="109"/>
      <c r="P510" s="109"/>
      <c r="Q510" s="111" t="s">
        <v>4010</v>
      </c>
      <c r="R510" s="111"/>
      <c r="S510" s="118"/>
      <c r="T510" s="112"/>
      <c r="U510" s="102"/>
      <c r="V510" s="102"/>
      <c r="W510" s="102"/>
      <c r="X510" s="102"/>
      <c r="Y510" s="102"/>
      <c r="Z510" s="102"/>
      <c r="AA510" s="102"/>
      <c r="AB510" s="102"/>
      <c r="AC510" s="113"/>
      <c r="AD510" s="113"/>
      <c r="AE510" s="113"/>
    </row>
    <row r="511">
      <c r="A511" s="114">
        <v>7.290107933117E12</v>
      </c>
      <c r="B511" s="104" t="str">
        <f t="shared" si="1"/>
        <v>Rice-Cakes_3 crackers Energy 135 grams of cereals</v>
      </c>
      <c r="C511" s="105">
        <v>0.09999999</v>
      </c>
      <c r="D511" s="105">
        <v>0.26</v>
      </c>
      <c r="E511" s="105">
        <v>0.09999999</v>
      </c>
      <c r="F511" s="106">
        <f>ROUND('Meta data'!$B$1/E511,0)</f>
        <v>3</v>
      </c>
      <c r="G511" s="107"/>
      <c r="H511" s="105" t="s">
        <v>5239</v>
      </c>
      <c r="I511" s="105" t="str">
        <f>IFERROR(__xludf.DUMMYFUNCTION("GOOGLETRANSLATE(H511,""he"",""en"")"),"Rice Cakes")</f>
        <v>Rice Cakes</v>
      </c>
      <c r="J511" s="105" t="s">
        <v>3592</v>
      </c>
      <c r="K511" s="105" t="str">
        <f>IFERROR(__xludf.DUMMYFUNCTION("GOOGLETRANSLATE(J511,""he"",""en"")"),"3 crackers Energy 135 grams of cereals")</f>
        <v>3 crackers Energy 135 grams of cereals</v>
      </c>
      <c r="L511" s="104" t="s">
        <v>3596</v>
      </c>
      <c r="M511" s="105" t="s">
        <v>6371</v>
      </c>
      <c r="N511" s="108" t="s">
        <v>6579</v>
      </c>
      <c r="O511" s="109"/>
      <c r="P511" s="109"/>
      <c r="Q511" s="111" t="s">
        <v>3595</v>
      </c>
      <c r="R511" s="115"/>
      <c r="S511" s="112"/>
      <c r="T511" s="118"/>
      <c r="U511" s="102"/>
      <c r="V511" s="102"/>
      <c r="W511" s="102"/>
      <c r="X511" s="102"/>
      <c r="Y511" s="102"/>
      <c r="Z511" s="102"/>
      <c r="AA511" s="102"/>
      <c r="AB511" s="102"/>
      <c r="AC511" s="113"/>
      <c r="AD511" s="113"/>
      <c r="AE511" s="113"/>
    </row>
    <row r="512">
      <c r="A512" s="114">
        <v>7.2901079331E12</v>
      </c>
      <c r="B512" s="104" t="str">
        <f t="shared" si="1"/>
        <v>Rice-Cakes_3 crackers and cereals Nigella 135 g Energy</v>
      </c>
      <c r="C512" s="105">
        <v>0.09999999</v>
      </c>
      <c r="D512" s="105">
        <v>0.26</v>
      </c>
      <c r="E512" s="105">
        <v>0.09999999</v>
      </c>
      <c r="F512" s="106">
        <f>ROUND('Meta data'!$B$1/E512,0)</f>
        <v>3</v>
      </c>
      <c r="G512" s="107"/>
      <c r="H512" s="105" t="s">
        <v>5239</v>
      </c>
      <c r="I512" s="105" t="str">
        <f>IFERROR(__xludf.DUMMYFUNCTION("GOOGLETRANSLATE(H512,""he"",""en"")"),"Rice Cakes")</f>
        <v>Rice Cakes</v>
      </c>
      <c r="J512" s="105" t="s">
        <v>3585</v>
      </c>
      <c r="K512" s="105" t="str">
        <f>IFERROR(__xludf.DUMMYFUNCTION("GOOGLETRANSLATE(J512,""he"",""en"")"),"3 crackers and cereals Nigella 135 g Energy")</f>
        <v>3 crackers and cereals Nigella 135 g Energy</v>
      </c>
      <c r="L512" s="104" t="s">
        <v>3590</v>
      </c>
      <c r="M512" s="105" t="s">
        <v>6371</v>
      </c>
      <c r="N512" s="108" t="s">
        <v>6579</v>
      </c>
      <c r="O512" s="109"/>
      <c r="P512" s="109"/>
      <c r="Q512" s="111" t="s">
        <v>3589</v>
      </c>
      <c r="R512" s="111"/>
      <c r="S512" s="112"/>
      <c r="T512" s="118"/>
      <c r="U512" s="112"/>
      <c r="V512" s="102"/>
      <c r="W512" s="102"/>
      <c r="X512" s="102"/>
      <c r="Y512" s="102"/>
      <c r="Z512" s="102"/>
      <c r="AA512" s="102"/>
      <c r="AB512" s="102"/>
      <c r="AC512" s="113"/>
      <c r="AD512" s="113"/>
      <c r="AE512" s="113"/>
    </row>
    <row r="513">
      <c r="A513" s="114">
        <v>7.290107953917E12</v>
      </c>
      <c r="B513" s="104" t="str">
        <f t="shared" si="1"/>
        <v>Rice-Cakes_Energy potato cakes and cereals 135 g</v>
      </c>
      <c r="C513" s="105">
        <v>0.09999999</v>
      </c>
      <c r="D513" s="105">
        <v>0.26</v>
      </c>
      <c r="E513" s="105">
        <v>0.09999999</v>
      </c>
      <c r="F513" s="106">
        <f>ROUND('Meta data'!$B$1/E513,0)</f>
        <v>3</v>
      </c>
      <c r="G513" s="107"/>
      <c r="H513" s="105" t="s">
        <v>5239</v>
      </c>
      <c r="I513" s="105" t="str">
        <f>IFERROR(__xludf.DUMMYFUNCTION("GOOGLETRANSLATE(H513,""he"",""en"")"),"Rice Cakes")</f>
        <v>Rice Cakes</v>
      </c>
      <c r="J513" s="105" t="s">
        <v>3604</v>
      </c>
      <c r="K513" s="105" t="str">
        <f>IFERROR(__xludf.DUMMYFUNCTION("GOOGLETRANSLATE(J513,""he"",""en"")"),"Energy potato cakes and cereals 135 g")</f>
        <v>Energy potato cakes and cereals 135 g</v>
      </c>
      <c r="L513" s="104" t="s">
        <v>3608</v>
      </c>
      <c r="M513" s="105" t="s">
        <v>6371</v>
      </c>
      <c r="N513" s="108" t="s">
        <v>6579</v>
      </c>
      <c r="O513" s="109"/>
      <c r="P513" s="109"/>
      <c r="Q513" s="111" t="s">
        <v>3607</v>
      </c>
      <c r="R513" s="115"/>
      <c r="S513" s="112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13"/>
      <c r="AD513" s="113"/>
      <c r="AE513" s="113"/>
    </row>
    <row r="514">
      <c r="A514" s="114">
        <v>7.290006984647E12</v>
      </c>
      <c r="B514" s="104" t="str">
        <f t="shared" si="1"/>
        <v>Rice-cakes_Snacks Friconim from 80 grams</v>
      </c>
      <c r="C514" s="105">
        <v>0.14</v>
      </c>
      <c r="D514" s="105">
        <v>0.22</v>
      </c>
      <c r="E514" s="105">
        <v>0.05</v>
      </c>
      <c r="F514" s="106">
        <f>ROUND('Meta data'!$B$1/E514,0)</f>
        <v>6</v>
      </c>
      <c r="G514" s="107"/>
      <c r="H514" s="105" t="s">
        <v>5235</v>
      </c>
      <c r="I514" s="105" t="str">
        <f>IFERROR(__xludf.DUMMYFUNCTION("GOOGLETRANSLATE(H514,""he"",""en"")"),"Rice cakes")</f>
        <v>Rice cakes</v>
      </c>
      <c r="J514" s="105" t="s">
        <v>3692</v>
      </c>
      <c r="K514" s="105" t="str">
        <f>IFERROR(__xludf.DUMMYFUNCTION("GOOGLETRANSLATE(J514,""he"",""en"")"),"Snacks Friconim from 80 grams")</f>
        <v>Snacks Friconim from 80 grams</v>
      </c>
      <c r="L514" s="104" t="s">
        <v>3696</v>
      </c>
      <c r="M514" s="105" t="s">
        <v>6371</v>
      </c>
      <c r="N514" s="108" t="s">
        <v>6402</v>
      </c>
      <c r="O514" s="109"/>
      <c r="P514" s="109"/>
      <c r="Q514" s="115" t="s">
        <v>3695</v>
      </c>
      <c r="R514" s="116"/>
      <c r="S514" s="118"/>
      <c r="T514" s="117"/>
      <c r="U514" s="102"/>
      <c r="V514" s="102"/>
      <c r="W514" s="102"/>
      <c r="X514" s="102"/>
      <c r="Y514" s="102"/>
      <c r="Z514" s="102"/>
      <c r="AA514" s="102"/>
      <c r="AB514" s="102"/>
      <c r="AC514" s="113"/>
      <c r="AD514" s="113"/>
      <c r="AE514" s="113"/>
    </row>
    <row r="515">
      <c r="A515" s="114">
        <v>7.290000078762E12</v>
      </c>
      <c r="B515" s="104" t="str">
        <f t="shared" si="1"/>
        <v>Rice-cakes_Friconim sweetened with honey 80 grams</v>
      </c>
      <c r="C515" s="105">
        <v>0.14</v>
      </c>
      <c r="D515" s="105">
        <v>0.22</v>
      </c>
      <c r="E515" s="105">
        <v>0.05</v>
      </c>
      <c r="F515" s="106">
        <f>ROUND('Meta data'!$B$1/E515,0)</f>
        <v>6</v>
      </c>
      <c r="G515" s="107"/>
      <c r="H515" s="105" t="s">
        <v>5235</v>
      </c>
      <c r="I515" s="105" t="str">
        <f>IFERROR(__xludf.DUMMYFUNCTION("GOOGLETRANSLATE(H515,""he"",""en"")"),"Rice cakes")</f>
        <v>Rice cakes</v>
      </c>
      <c r="J515" s="105" t="s">
        <v>3674</v>
      </c>
      <c r="K515" s="105" t="str">
        <f>IFERROR(__xludf.DUMMYFUNCTION("GOOGLETRANSLATE(J515,""he"",""en"")"),"Friconim sweetened with honey 80 grams")</f>
        <v>Friconim sweetened with honey 80 grams</v>
      </c>
      <c r="L515" s="104" t="s">
        <v>3678</v>
      </c>
      <c r="M515" s="105" t="s">
        <v>6371</v>
      </c>
      <c r="N515" s="108" t="s">
        <v>6402</v>
      </c>
      <c r="O515" s="109"/>
      <c r="P515" s="109"/>
      <c r="Q515" s="115" t="s">
        <v>3677</v>
      </c>
      <c r="R515" s="116"/>
      <c r="S515" s="117"/>
      <c r="T515" s="118"/>
      <c r="U515" s="117"/>
      <c r="V515" s="102"/>
      <c r="W515" s="102"/>
      <c r="X515" s="102"/>
      <c r="Y515" s="102"/>
      <c r="Z515" s="102"/>
      <c r="AA515" s="102"/>
      <c r="AB515" s="102"/>
      <c r="AC515" s="113"/>
      <c r="AD515" s="113"/>
      <c r="AE515" s="113"/>
    </row>
    <row r="516">
      <c r="A516" s="114">
        <v>2043126.0</v>
      </c>
      <c r="B516" s="104" t="str">
        <f t="shared" si="1"/>
        <v>Rice-cakes_Brown rice cakes filled with 7 seeds 24 grams</v>
      </c>
      <c r="C516" s="105">
        <v>0.15</v>
      </c>
      <c r="D516" s="105">
        <v>0.09999999</v>
      </c>
      <c r="E516" s="105">
        <v>0.03</v>
      </c>
      <c r="F516" s="106">
        <f>ROUND('Meta data'!$B$1/E516,0)</f>
        <v>10</v>
      </c>
      <c r="G516" s="107"/>
      <c r="H516" s="105" t="s">
        <v>5235</v>
      </c>
      <c r="I516" s="105" t="str">
        <f>IFERROR(__xludf.DUMMYFUNCTION("GOOGLETRANSLATE(H516,""he"",""en"")"),"Rice cakes")</f>
        <v>Rice cakes</v>
      </c>
      <c r="J516" s="105" t="s">
        <v>3618</v>
      </c>
      <c r="K516" s="105" t="str">
        <f>IFERROR(__xludf.DUMMYFUNCTION("GOOGLETRANSLATE(J516,""he"",""en"")"),"Brown rice cakes filled with 7 seeds 24 grams")</f>
        <v>Brown rice cakes filled with 7 seeds 24 grams</v>
      </c>
      <c r="L516" s="104" t="s">
        <v>3622</v>
      </c>
      <c r="M516" s="105" t="s">
        <v>6371</v>
      </c>
      <c r="N516" s="108" t="s">
        <v>6402</v>
      </c>
      <c r="O516" s="109"/>
      <c r="P516" s="109"/>
      <c r="Q516" s="115" t="s">
        <v>3621</v>
      </c>
      <c r="R516" s="116"/>
      <c r="S516" s="117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13"/>
      <c r="AD516" s="113"/>
      <c r="AE516" s="113"/>
    </row>
    <row r="517">
      <c r="A517" s="114">
        <v>2043072.0</v>
      </c>
      <c r="B517" s="104" t="str">
        <f t="shared" si="1"/>
        <v>Rice-cakes_Brown rice cakes filled with milk chocolate coating 70 C.</v>
      </c>
      <c r="C517" s="105">
        <v>0.12</v>
      </c>
      <c r="D517" s="105">
        <v>0.14</v>
      </c>
      <c r="E517" s="105">
        <v>0.03</v>
      </c>
      <c r="F517" s="106">
        <f>ROUND('Meta data'!$B$1/E517,0)</f>
        <v>10</v>
      </c>
      <c r="G517" s="107"/>
      <c r="H517" s="105" t="s">
        <v>5235</v>
      </c>
      <c r="I517" s="105" t="str">
        <f>IFERROR(__xludf.DUMMYFUNCTION("GOOGLETRANSLATE(H517,""he"",""en"")"),"Rice cakes")</f>
        <v>Rice cakes</v>
      </c>
      <c r="J517" s="105" t="s">
        <v>3637</v>
      </c>
      <c r="K517" s="105" t="str">
        <f>IFERROR(__xludf.DUMMYFUNCTION("GOOGLETRANSLATE(J517,""he"",""en"")"),"Brown rice cakes filled with milk chocolate coating 70 C.")</f>
        <v>Brown rice cakes filled with milk chocolate coating 70 C.</v>
      </c>
      <c r="L517" s="104" t="s">
        <v>3641</v>
      </c>
      <c r="M517" s="105" t="s">
        <v>6371</v>
      </c>
      <c r="N517" s="108" t="s">
        <v>6402</v>
      </c>
      <c r="O517" s="109"/>
      <c r="P517" s="109"/>
      <c r="Q517" s="115" t="s">
        <v>3640</v>
      </c>
      <c r="R517" s="116"/>
      <c r="S517" s="117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13"/>
      <c r="AD517" s="113"/>
      <c r="AE517" s="113"/>
    </row>
    <row r="518">
      <c r="A518" s="114">
        <v>2043096.0</v>
      </c>
      <c r="B518" s="104" t="str">
        <f t="shared" si="1"/>
        <v>Rice-cakes_Brown rice cakes filled with white chocolate coating 70 C.</v>
      </c>
      <c r="C518" s="105">
        <v>0.12</v>
      </c>
      <c r="D518" s="105">
        <v>0.14</v>
      </c>
      <c r="E518" s="105">
        <v>0.03</v>
      </c>
      <c r="F518" s="106">
        <f>ROUND('Meta data'!$B$1/E518,0)</f>
        <v>10</v>
      </c>
      <c r="G518" s="107"/>
      <c r="H518" s="105" t="s">
        <v>5235</v>
      </c>
      <c r="I518" s="105" t="str">
        <f>IFERROR(__xludf.DUMMYFUNCTION("GOOGLETRANSLATE(H518,""he"",""en"")"),"Rice cakes")</f>
        <v>Rice cakes</v>
      </c>
      <c r="J518" s="105" t="s">
        <v>3649</v>
      </c>
      <c r="K518" s="105" t="str">
        <f>IFERROR(__xludf.DUMMYFUNCTION("GOOGLETRANSLATE(J518,""he"",""en"")"),"Brown rice cakes filled with white chocolate coating 70 C.")</f>
        <v>Brown rice cakes filled with white chocolate coating 70 C.</v>
      </c>
      <c r="L518" s="104" t="s">
        <v>3653</v>
      </c>
      <c r="M518" s="105" t="s">
        <v>6371</v>
      </c>
      <c r="N518" s="108" t="s">
        <v>6402</v>
      </c>
      <c r="O518" s="109"/>
      <c r="P518" s="109"/>
      <c r="Q518" s="115" t="s">
        <v>3652</v>
      </c>
      <c r="R518" s="116"/>
      <c r="S518" s="117"/>
      <c r="T518" s="117"/>
      <c r="U518" s="117"/>
      <c r="V518" s="102"/>
      <c r="W518" s="102"/>
      <c r="X518" s="102"/>
      <c r="Y518" s="102"/>
      <c r="Z518" s="102"/>
      <c r="AA518" s="102"/>
      <c r="AB518" s="102"/>
      <c r="AC518" s="113"/>
      <c r="AD518" s="113"/>
      <c r="AE518" s="113"/>
    </row>
    <row r="519">
      <c r="A519" s="114">
        <v>2043065.0</v>
      </c>
      <c r="B519" s="104" t="str">
        <f t="shared" si="1"/>
        <v>Rice-cakes_Brown rice cakes filled with chocolate coating bittersweet 70 c</v>
      </c>
      <c r="C519" s="105">
        <v>0.12</v>
      </c>
      <c r="D519" s="105">
        <v>0.14</v>
      </c>
      <c r="E519" s="105">
        <v>0.03</v>
      </c>
      <c r="F519" s="106">
        <f>ROUND('Meta data'!$B$1/E519,0)</f>
        <v>10</v>
      </c>
      <c r="G519" s="107"/>
      <c r="H519" s="105" t="s">
        <v>5235</v>
      </c>
      <c r="I519" s="105" t="str">
        <f>IFERROR(__xludf.DUMMYFUNCTION("GOOGLETRANSLATE(H519,""he"",""en"")"),"Rice cakes")</f>
        <v>Rice cakes</v>
      </c>
      <c r="J519" s="105" t="s">
        <v>3625</v>
      </c>
      <c r="K519" s="105" t="str">
        <f>IFERROR(__xludf.DUMMYFUNCTION("GOOGLETRANSLATE(J519,""he"",""en"")"),"Brown rice cakes filled with chocolate coating bittersweet 70 c")</f>
        <v>Brown rice cakes filled with chocolate coating bittersweet 70 c</v>
      </c>
      <c r="L519" s="104" t="s">
        <v>3629</v>
      </c>
      <c r="M519" s="105" t="s">
        <v>6371</v>
      </c>
      <c r="N519" s="108" t="s">
        <v>6402</v>
      </c>
      <c r="O519" s="109"/>
      <c r="P519" s="109"/>
      <c r="Q519" s="111" t="s">
        <v>3628</v>
      </c>
      <c r="R519" s="116"/>
      <c r="S519" s="117"/>
      <c r="T519" s="118"/>
      <c r="U519" s="117"/>
      <c r="V519" s="102"/>
      <c r="W519" s="102"/>
      <c r="X519" s="102"/>
      <c r="Y519" s="102"/>
      <c r="Z519" s="102"/>
      <c r="AA519" s="102"/>
      <c r="AB519" s="102"/>
      <c r="AC519" s="113"/>
      <c r="AD519" s="113"/>
      <c r="AE519" s="113"/>
    </row>
    <row r="520">
      <c r="A520" s="114">
        <v>2043812.0</v>
      </c>
      <c r="B520" s="104" t="str">
        <f t="shared" si="1"/>
        <v>Rice-cakes_Crunchy brown rice and quinoa full Studying 24 grams</v>
      </c>
      <c r="C520" s="105">
        <v>0.15</v>
      </c>
      <c r="D520" s="105">
        <v>0.09999999</v>
      </c>
      <c r="E520" s="105">
        <v>0.03</v>
      </c>
      <c r="F520" s="106">
        <f>ROUND('Meta data'!$B$1/E520,0)</f>
        <v>10</v>
      </c>
      <c r="G520" s="107"/>
      <c r="H520" s="105" t="s">
        <v>5235</v>
      </c>
      <c r="I520" s="105" t="str">
        <f>IFERROR(__xludf.DUMMYFUNCTION("GOOGLETRANSLATE(H520,""he"",""en"")"),"Rice cakes")</f>
        <v>Rice cakes</v>
      </c>
      <c r="J520" s="105" t="s">
        <v>3655</v>
      </c>
      <c r="K520" s="105" t="str">
        <f>IFERROR(__xludf.DUMMYFUNCTION("GOOGLETRANSLATE(J520,""he"",""en"")"),"Crunchy brown rice and quinoa full Studying 24 grams")</f>
        <v>Crunchy brown rice and quinoa full Studying 24 grams</v>
      </c>
      <c r="L520" s="104" t="s">
        <v>3659</v>
      </c>
      <c r="M520" s="105" t="s">
        <v>6371</v>
      </c>
      <c r="N520" s="108" t="s">
        <v>6402</v>
      </c>
      <c r="O520" s="109"/>
      <c r="P520" s="109"/>
      <c r="Q520" s="115" t="s">
        <v>3658</v>
      </c>
      <c r="R520" s="116"/>
      <c r="S520" s="117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13"/>
      <c r="AD520" s="113"/>
      <c r="AE520" s="113"/>
    </row>
    <row r="521">
      <c r="A521" s="114">
        <v>2043034.0</v>
      </c>
      <c r="B521" s="104" t="str">
        <f t="shared" si="1"/>
        <v>Rice-cakes_Brown rice cakes filled with milk chocolate coating 30 g</v>
      </c>
      <c r="C521" s="105">
        <v>0.13</v>
      </c>
      <c r="D521" s="105">
        <v>0.09</v>
      </c>
      <c r="E521" s="105">
        <v>0.03</v>
      </c>
      <c r="F521" s="106">
        <f>ROUND('Meta data'!$B$1/E521,0)</f>
        <v>10</v>
      </c>
      <c r="G521" s="107"/>
      <c r="H521" s="105" t="s">
        <v>5235</v>
      </c>
      <c r="I521" s="105" t="str">
        <f>IFERROR(__xludf.DUMMYFUNCTION("GOOGLETRANSLATE(H521,""he"",""en"")"),"Rice cakes")</f>
        <v>Rice cakes</v>
      </c>
      <c r="J521" s="105" t="s">
        <v>3631</v>
      </c>
      <c r="K521" s="105" t="str">
        <f>IFERROR(__xludf.DUMMYFUNCTION("GOOGLETRANSLATE(J521,""he"",""en"")"),"Brown rice cakes filled with milk chocolate coating 30 g")</f>
        <v>Brown rice cakes filled with milk chocolate coating 30 g</v>
      </c>
      <c r="L521" s="104" t="s">
        <v>3635</v>
      </c>
      <c r="M521" s="105" t="s">
        <v>6371</v>
      </c>
      <c r="N521" s="108" t="s">
        <v>6402</v>
      </c>
      <c r="O521" s="109"/>
      <c r="P521" s="109"/>
      <c r="Q521" s="115" t="s">
        <v>3634</v>
      </c>
      <c r="R521" s="116"/>
      <c r="S521" s="117"/>
      <c r="T521" s="117"/>
      <c r="U521" s="117"/>
      <c r="V521" s="118"/>
      <c r="W521" s="102"/>
      <c r="X521" s="102"/>
      <c r="Y521" s="102"/>
      <c r="Z521" s="102"/>
      <c r="AA521" s="102"/>
      <c r="AB521" s="102"/>
      <c r="AC521" s="113"/>
      <c r="AD521" s="113"/>
      <c r="AE521" s="113"/>
    </row>
    <row r="522">
      <c r="A522" s="114">
        <v>2043058.0</v>
      </c>
      <c r="B522" s="104" t="str">
        <f t="shared" si="1"/>
        <v>Rice-cakes_Brown rice cakes filled with white chocolate coating 30 g</v>
      </c>
      <c r="C522" s="105">
        <v>0.13</v>
      </c>
      <c r="D522" s="105">
        <v>0.09</v>
      </c>
      <c r="E522" s="105">
        <v>0.03</v>
      </c>
      <c r="F522" s="106">
        <f>ROUND('Meta data'!$B$1/E522,0)</f>
        <v>10</v>
      </c>
      <c r="G522" s="107"/>
      <c r="H522" s="105" t="s">
        <v>5235</v>
      </c>
      <c r="I522" s="105" t="str">
        <f>IFERROR(__xludf.DUMMYFUNCTION("GOOGLETRANSLATE(H522,""he"",""en"")"),"Rice cakes")</f>
        <v>Rice cakes</v>
      </c>
      <c r="J522" s="105" t="s">
        <v>3643</v>
      </c>
      <c r="K522" s="105" t="str">
        <f>IFERROR(__xludf.DUMMYFUNCTION("GOOGLETRANSLATE(J522,""he"",""en"")"),"Brown rice cakes filled with white chocolate coating 30 g")</f>
        <v>Brown rice cakes filled with white chocolate coating 30 g</v>
      </c>
      <c r="L522" s="104" t="s">
        <v>3647</v>
      </c>
      <c r="M522" s="105" t="s">
        <v>6371</v>
      </c>
      <c r="N522" s="108" t="s">
        <v>6402</v>
      </c>
      <c r="O522" s="109"/>
      <c r="P522" s="109"/>
      <c r="Q522" s="115" t="s">
        <v>3646</v>
      </c>
      <c r="R522" s="116"/>
      <c r="S522" s="117"/>
      <c r="T522" s="117"/>
      <c r="U522" s="118"/>
      <c r="V522" s="117"/>
      <c r="W522" s="102"/>
      <c r="X522" s="102"/>
      <c r="Y522" s="102"/>
      <c r="Z522" s="102"/>
      <c r="AA522" s="102"/>
      <c r="AB522" s="102"/>
      <c r="AC522" s="113"/>
      <c r="AD522" s="113"/>
      <c r="AE522" s="113"/>
    </row>
    <row r="523">
      <c r="A523" s="114">
        <v>7.290000060071E12</v>
      </c>
      <c r="B523" s="104" t="str">
        <f t="shared" si="1"/>
        <v>Rice-cakes_Friconim roasted brown rice 80 grams</v>
      </c>
      <c r="C523" s="105">
        <v>0.14</v>
      </c>
      <c r="D523" s="105">
        <v>0.22</v>
      </c>
      <c r="E523" s="105">
        <v>0.05</v>
      </c>
      <c r="F523" s="106">
        <f>ROUND('Meta data'!$B$1/E523,0)</f>
        <v>6</v>
      </c>
      <c r="G523" s="107"/>
      <c r="H523" s="105" t="s">
        <v>5235</v>
      </c>
      <c r="I523" s="105" t="str">
        <f>IFERROR(__xludf.DUMMYFUNCTION("GOOGLETRANSLATE(H523,""he"",""en"")"),"Rice cakes")</f>
        <v>Rice cakes</v>
      </c>
      <c r="J523" s="105" t="s">
        <v>3668</v>
      </c>
      <c r="K523" s="105" t="str">
        <f>IFERROR(__xludf.DUMMYFUNCTION("GOOGLETRANSLATE(J523,""he"",""en"")"),"Friconim roasted brown rice 80 grams")</f>
        <v>Friconim roasted brown rice 80 grams</v>
      </c>
      <c r="L523" s="104" t="s">
        <v>3672</v>
      </c>
      <c r="M523" s="105" t="s">
        <v>6371</v>
      </c>
      <c r="N523" s="108" t="s">
        <v>6402</v>
      </c>
      <c r="O523" s="109"/>
      <c r="P523" s="109"/>
      <c r="Q523" s="115" t="s">
        <v>3671</v>
      </c>
      <c r="R523" s="115"/>
      <c r="S523" s="117"/>
      <c r="T523" s="117"/>
      <c r="U523" s="117"/>
      <c r="V523" s="118"/>
      <c r="W523" s="102"/>
      <c r="X523" s="102"/>
      <c r="Y523" s="102"/>
      <c r="Z523" s="102"/>
      <c r="AA523" s="102"/>
      <c r="AB523" s="102"/>
      <c r="AC523" s="113"/>
      <c r="AD523" s="113"/>
      <c r="AE523" s="113"/>
    </row>
    <row r="524">
      <c r="A524" s="114">
        <v>7.290000068343E12</v>
      </c>
      <c r="B524" s="104" t="str">
        <f t="shared" si="1"/>
        <v>Rice-cakes_Friconim rice, 140 grams</v>
      </c>
      <c r="C524" s="105">
        <v>0.09</v>
      </c>
      <c r="D524" s="105">
        <v>0.235</v>
      </c>
      <c r="E524" s="105">
        <v>0.09</v>
      </c>
      <c r="F524" s="106">
        <f>ROUND('Meta data'!$B$1/E524,0)</f>
        <v>3</v>
      </c>
      <c r="G524" s="107"/>
      <c r="H524" s="105" t="s">
        <v>5235</v>
      </c>
      <c r="I524" s="105" t="str">
        <f>IFERROR(__xludf.DUMMYFUNCTION("GOOGLETRANSLATE(H524,""he"",""en"")"),"Rice cakes")</f>
        <v>Rice cakes</v>
      </c>
      <c r="J524" s="105" t="s">
        <v>3662</v>
      </c>
      <c r="K524" s="105" t="str">
        <f>IFERROR(__xludf.DUMMYFUNCTION("GOOGLETRANSLATE(J524,""he"",""en"")"),"Friconim rice, 140 grams")</f>
        <v>Friconim rice, 140 grams</v>
      </c>
      <c r="L524" s="104" t="s">
        <v>3666</v>
      </c>
      <c r="M524" s="105" t="s">
        <v>6371</v>
      </c>
      <c r="N524" s="108" t="s">
        <v>6402</v>
      </c>
      <c r="O524" s="109"/>
      <c r="P524" s="109"/>
      <c r="Q524" s="115" t="s">
        <v>3665</v>
      </c>
      <c r="R524" s="116"/>
      <c r="S524" s="117"/>
      <c r="T524" s="117"/>
      <c r="U524" s="117"/>
      <c r="V524" s="118"/>
      <c r="W524" s="102"/>
      <c r="X524" s="102"/>
      <c r="Y524" s="102"/>
      <c r="Z524" s="102"/>
      <c r="AA524" s="102"/>
      <c r="AB524" s="102"/>
      <c r="AC524" s="113"/>
      <c r="AD524" s="113"/>
      <c r="AE524" s="113"/>
    </row>
    <row r="525">
      <c r="A525" s="114">
        <v>7.290105968777E12</v>
      </c>
      <c r="B525" s="104" t="str">
        <f t="shared" si="1"/>
        <v>Rice-Cakes_5 cakes cereal with 70 grams of dark chocolate</v>
      </c>
      <c r="C525" s="105">
        <v>0.13</v>
      </c>
      <c r="D525" s="105">
        <v>0.18</v>
      </c>
      <c r="E525" s="105">
        <v>0.03</v>
      </c>
      <c r="F525" s="106">
        <f>ROUND('Meta data'!$B$1/E525,0)</f>
        <v>10</v>
      </c>
      <c r="G525" s="107"/>
      <c r="H525" s="105" t="s">
        <v>5239</v>
      </c>
      <c r="I525" s="105" t="str">
        <f>IFERROR(__xludf.DUMMYFUNCTION("GOOGLETRANSLATE(H525,""he"",""en"")"),"Rice Cakes")</f>
        <v>Rice Cakes</v>
      </c>
      <c r="J525" s="105" t="s">
        <v>3598</v>
      </c>
      <c r="K525" s="105" t="str">
        <f>IFERROR(__xludf.DUMMYFUNCTION("GOOGLETRANSLATE(J525,""he"",""en"")"),"5 cakes cereal with 70 grams of dark chocolate")</f>
        <v>5 cakes cereal with 70 grams of dark chocolate</v>
      </c>
      <c r="L525" s="104" t="s">
        <v>3602</v>
      </c>
      <c r="M525" s="105" t="s">
        <v>6371</v>
      </c>
      <c r="N525" s="108" t="s">
        <v>6402</v>
      </c>
      <c r="O525" s="109"/>
      <c r="P525" s="109"/>
      <c r="Q525" s="115" t="s">
        <v>3601</v>
      </c>
      <c r="R525" s="111"/>
      <c r="S525" s="117"/>
      <c r="T525" s="117"/>
      <c r="U525" s="102"/>
      <c r="V525" s="102"/>
      <c r="W525" s="102"/>
      <c r="X525" s="102"/>
      <c r="Y525" s="102"/>
      <c r="Z525" s="102"/>
      <c r="AA525" s="102"/>
      <c r="AB525" s="102"/>
      <c r="AC525" s="113"/>
      <c r="AD525" s="113"/>
      <c r="AE525" s="113"/>
    </row>
    <row r="526">
      <c r="A526" s="114">
        <v>7.290112495983E12</v>
      </c>
      <c r="B526" s="104" t="str">
        <f t="shared" si="1"/>
        <v>Rice-Cakes_Rice cakes coated with milk chocolate and chips 39</v>
      </c>
      <c r="C526" s="105">
        <v>0.09999999</v>
      </c>
      <c r="D526" s="105">
        <v>0.09999999</v>
      </c>
      <c r="E526" s="105">
        <v>0.07</v>
      </c>
      <c r="F526" s="106">
        <f>ROUND('Meta data'!$B$1/E526,0)</f>
        <v>4</v>
      </c>
      <c r="G526" s="107"/>
      <c r="H526" s="105" t="s">
        <v>5239</v>
      </c>
      <c r="I526" s="105" t="str">
        <f>IFERROR(__xludf.DUMMYFUNCTION("GOOGLETRANSLATE(H526,""he"",""en"")"),"Rice Cakes")</f>
        <v>Rice Cakes</v>
      </c>
      <c r="J526" s="105" t="s">
        <v>3708</v>
      </c>
      <c r="K526" s="105" t="str">
        <f>IFERROR(__xludf.DUMMYFUNCTION("GOOGLETRANSLATE(J526,""he"",""en"")"),"Rice cakes coated with milk chocolate and chips 39")</f>
        <v>Rice cakes coated with milk chocolate and chips 39</v>
      </c>
      <c r="L526" s="104" t="s">
        <v>3712</v>
      </c>
      <c r="M526" s="105" t="s">
        <v>6371</v>
      </c>
      <c r="N526" s="108" t="s">
        <v>6402</v>
      </c>
      <c r="O526" s="109"/>
      <c r="P526" s="109"/>
      <c r="Q526" s="115" t="s">
        <v>3711</v>
      </c>
      <c r="R526" s="111"/>
      <c r="S526" s="117"/>
      <c r="T526" s="117"/>
      <c r="U526" s="102"/>
      <c r="V526" s="102"/>
      <c r="W526" s="102"/>
      <c r="X526" s="102"/>
      <c r="Y526" s="102"/>
      <c r="Z526" s="102"/>
      <c r="AA526" s="102"/>
      <c r="AB526" s="102"/>
      <c r="AC526" s="113"/>
      <c r="AD526" s="113"/>
      <c r="AE526" s="113"/>
    </row>
    <row r="527">
      <c r="A527" s="114">
        <v>7.290106526822E12</v>
      </c>
      <c r="B527" s="104" t="str">
        <f t="shared" si="1"/>
        <v>Rice-Cakes_Underground Energy cakes chocolate 80 g</v>
      </c>
      <c r="C527" s="105">
        <v>0.13</v>
      </c>
      <c r="D527" s="105">
        <v>0.18</v>
      </c>
      <c r="E527" s="105">
        <v>0.03</v>
      </c>
      <c r="F527" s="106">
        <f>ROUND('Meta data'!$B$1/E527,0)</f>
        <v>10</v>
      </c>
      <c r="G527" s="107"/>
      <c r="H527" s="105" t="s">
        <v>5239</v>
      </c>
      <c r="I527" s="105" t="str">
        <f>IFERROR(__xludf.DUMMYFUNCTION("GOOGLETRANSLATE(H527,""he"",""en"")"),"Rice Cakes")</f>
        <v>Rice Cakes</v>
      </c>
      <c r="J527" s="105" t="s">
        <v>3610</v>
      </c>
      <c r="K527" s="105" t="str">
        <f>IFERROR(__xludf.DUMMYFUNCTION("GOOGLETRANSLATE(J527,""he"",""en"")"),"Underground Energy cakes chocolate 80 g")</f>
        <v>Underground Energy cakes chocolate 80 g</v>
      </c>
      <c r="L527" s="104" t="s">
        <v>3614</v>
      </c>
      <c r="M527" s="105" t="s">
        <v>6371</v>
      </c>
      <c r="N527" s="108" t="s">
        <v>6402</v>
      </c>
      <c r="O527" s="109"/>
      <c r="P527" s="109"/>
      <c r="Q527" s="115" t="s">
        <v>3613</v>
      </c>
      <c r="R527" s="116"/>
      <c r="S527" s="117"/>
      <c r="T527" s="117"/>
      <c r="U527" s="117"/>
      <c r="V527" s="102"/>
      <c r="W527" s="102"/>
      <c r="X527" s="102"/>
      <c r="Y527" s="102"/>
      <c r="Z527" s="102"/>
      <c r="AA527" s="102"/>
      <c r="AB527" s="102"/>
      <c r="AC527" s="113"/>
      <c r="AD527" s="113"/>
      <c r="AE527" s="113"/>
    </row>
    <row r="528">
      <c r="A528" s="114">
        <v>2043782.0</v>
      </c>
      <c r="B528" s="104" t="str">
        <f t="shared" si="1"/>
        <v>Rice-Chips_Full brown rice fries Texas barbecue 60g</v>
      </c>
      <c r="C528" s="105">
        <v>0.13</v>
      </c>
      <c r="D528" s="105">
        <v>0.17</v>
      </c>
      <c r="E528" s="105">
        <v>0.03</v>
      </c>
      <c r="F528" s="106">
        <f>ROUND('Meta data'!$B$1/E528,0)</f>
        <v>10</v>
      </c>
      <c r="G528" s="107"/>
      <c r="H528" s="105" t="s">
        <v>5242</v>
      </c>
      <c r="I528" s="105" t="str">
        <f>IFERROR(__xludf.DUMMYFUNCTION("GOOGLETRANSLATE(H528,""he"",""en"")"),"Rice Chips")</f>
        <v>Rice Chips</v>
      </c>
      <c r="J528" s="105" t="s">
        <v>3686</v>
      </c>
      <c r="K528" s="105" t="str">
        <f>IFERROR(__xludf.DUMMYFUNCTION("GOOGLETRANSLATE(J528,""he"",""en"")"),"Full brown rice fries Texas barbecue 60g")</f>
        <v>Full brown rice fries Texas barbecue 60g</v>
      </c>
      <c r="L528" s="104" t="s">
        <v>3690</v>
      </c>
      <c r="M528" s="105" t="s">
        <v>6371</v>
      </c>
      <c r="N528" s="108" t="s">
        <v>6402</v>
      </c>
      <c r="O528" s="109"/>
      <c r="P528" s="109"/>
      <c r="Q528" s="115" t="s">
        <v>3689</v>
      </c>
      <c r="R528" s="115"/>
      <c r="S528" s="117"/>
      <c r="T528" s="102"/>
      <c r="U528" s="102"/>
      <c r="V528" s="102"/>
      <c r="W528" s="102"/>
      <c r="X528" s="102"/>
      <c r="Y528" s="102"/>
      <c r="Z528" s="102"/>
      <c r="AA528" s="102"/>
      <c r="AB528" s="102"/>
      <c r="AC528" s="113"/>
      <c r="AD528" s="113"/>
      <c r="AE528" s="113"/>
    </row>
    <row r="529">
      <c r="A529" s="114">
        <v>2043188.0</v>
      </c>
      <c r="B529" s="104" t="str">
        <f t="shared" si="1"/>
        <v>Rice-Chips_Full brown rice fries spicy chili 60 g</v>
      </c>
      <c r="C529" s="105">
        <v>0.13</v>
      </c>
      <c r="D529" s="105">
        <v>0.17</v>
      </c>
      <c r="E529" s="105">
        <v>0.03</v>
      </c>
      <c r="F529" s="106">
        <f>ROUND('Meta data'!$B$1/E529,0)</f>
        <v>10</v>
      </c>
      <c r="G529" s="107"/>
      <c r="H529" s="105" t="s">
        <v>5242</v>
      </c>
      <c r="I529" s="105" t="str">
        <f>IFERROR(__xludf.DUMMYFUNCTION("GOOGLETRANSLATE(H529,""he"",""en"")"),"Rice Chips")</f>
        <v>Rice Chips</v>
      </c>
      <c r="J529" s="105" t="s">
        <v>3680</v>
      </c>
      <c r="K529" s="105" t="str">
        <f>IFERROR(__xludf.DUMMYFUNCTION("GOOGLETRANSLATE(J529,""he"",""en"")"),"Full brown rice fries spicy chili 60 g")</f>
        <v>Full brown rice fries spicy chili 60 g</v>
      </c>
      <c r="L529" s="104" t="s">
        <v>3684</v>
      </c>
      <c r="M529" s="105" t="s">
        <v>6371</v>
      </c>
      <c r="N529" s="108" t="s">
        <v>6402</v>
      </c>
      <c r="O529" s="109"/>
      <c r="P529" s="109"/>
      <c r="Q529" s="115" t="s">
        <v>3683</v>
      </c>
      <c r="R529" s="116"/>
      <c r="S529" s="117"/>
      <c r="T529" s="117"/>
      <c r="U529" s="117"/>
      <c r="V529" s="118"/>
      <c r="W529" s="102"/>
      <c r="X529" s="102"/>
      <c r="Y529" s="102"/>
      <c r="Z529" s="102"/>
      <c r="AA529" s="102"/>
      <c r="AB529" s="102"/>
      <c r="AC529" s="113"/>
      <c r="AD529" s="113"/>
      <c r="AE529" s="113"/>
    </row>
    <row r="530">
      <c r="A530" s="114">
        <v>8.850389104637E12</v>
      </c>
      <c r="B530" s="104" t="str">
        <f t="shared" si="1"/>
        <v>Safa_Sapa Peach Aloe Vera 300 ml bottle</v>
      </c>
      <c r="C530" s="105">
        <v>0.053</v>
      </c>
      <c r="D530" s="105">
        <v>0.193</v>
      </c>
      <c r="E530" s="105">
        <v>0.053</v>
      </c>
      <c r="F530" s="106">
        <f>ROUND('Meta data'!$B$1/E530,0)</f>
        <v>6</v>
      </c>
      <c r="G530" s="107"/>
      <c r="H530" s="105" t="s">
        <v>4057</v>
      </c>
      <c r="I530" s="105" t="str">
        <f>IFERROR(__xludf.DUMMYFUNCTION("GOOGLETRANSLATE(H530,""he"",""en"")"),"Safa")</f>
        <v>Safa</v>
      </c>
      <c r="J530" s="105" t="s">
        <v>4101</v>
      </c>
      <c r="K530" s="105" t="str">
        <f>IFERROR(__xludf.DUMMYFUNCTION("GOOGLETRANSLATE(J530,""he"",""en"")"),"Sapa Peach Aloe Vera 300 ml bottle")</f>
        <v>Sapa Peach Aloe Vera 300 ml bottle</v>
      </c>
      <c r="L530" s="104" t="s">
        <v>4105</v>
      </c>
      <c r="M530" s="105" t="s">
        <v>6511</v>
      </c>
      <c r="N530" s="108" t="s">
        <v>6512</v>
      </c>
      <c r="O530" s="109"/>
      <c r="P530" s="109"/>
      <c r="Q530" s="115" t="s">
        <v>4104</v>
      </c>
      <c r="R530" s="116"/>
      <c r="S530" s="117"/>
      <c r="T530" s="117"/>
      <c r="U530" s="117"/>
      <c r="V530" s="102"/>
      <c r="W530" s="102"/>
      <c r="X530" s="102"/>
      <c r="Y530" s="102"/>
      <c r="Z530" s="102"/>
      <c r="AA530" s="102"/>
      <c r="AB530" s="102"/>
      <c r="AC530" s="113"/>
      <c r="AD530" s="113"/>
      <c r="AE530" s="113"/>
    </row>
    <row r="531">
      <c r="A531" s="114">
        <v>8.850389115312E12</v>
      </c>
      <c r="B531" s="104" t="str">
        <f t="shared" si="1"/>
        <v>Safa_Aloe Hotel Safa 300 ml bottle</v>
      </c>
      <c r="C531" s="105">
        <v>0.053</v>
      </c>
      <c r="D531" s="105">
        <v>0.193</v>
      </c>
      <c r="E531" s="105">
        <v>0.053</v>
      </c>
      <c r="F531" s="106">
        <f>ROUND('Meta data'!$B$1/E531,0)</f>
        <v>6</v>
      </c>
      <c r="G531" s="107"/>
      <c r="H531" s="105" t="s">
        <v>4057</v>
      </c>
      <c r="I531" s="105" t="str">
        <f>IFERROR(__xludf.DUMMYFUNCTION("GOOGLETRANSLATE(H531,""he"",""en"")"),"Safa")</f>
        <v>Safa</v>
      </c>
      <c r="J531" s="105" t="s">
        <v>4059</v>
      </c>
      <c r="K531" s="105" t="str">
        <f>IFERROR(__xludf.DUMMYFUNCTION("GOOGLETRANSLATE(J531,""he"",""en"")"),"Aloe Hotel Safa 300 ml bottle")</f>
        <v>Aloe Hotel Safa 300 ml bottle</v>
      </c>
      <c r="L531" s="104" t="s">
        <v>4063</v>
      </c>
      <c r="M531" s="105" t="s">
        <v>6511</v>
      </c>
      <c r="N531" s="108" t="s">
        <v>6512</v>
      </c>
      <c r="O531" s="109"/>
      <c r="P531" s="109"/>
      <c r="Q531" s="115" t="s">
        <v>4062</v>
      </c>
      <c r="R531" s="116"/>
      <c r="S531" s="117"/>
      <c r="T531" s="117"/>
      <c r="U531" s="117"/>
      <c r="V531" s="117"/>
      <c r="W531" s="102"/>
      <c r="X531" s="102"/>
      <c r="Y531" s="102"/>
      <c r="Z531" s="102"/>
      <c r="AA531" s="102"/>
      <c r="AB531" s="102"/>
      <c r="AC531" s="113"/>
      <c r="AD531" s="113"/>
      <c r="AE531" s="113"/>
    </row>
    <row r="532">
      <c r="A532" s="114">
        <v>8.850389103111E12</v>
      </c>
      <c r="B532" s="104" t="str">
        <f t="shared" si="1"/>
        <v>Safa_Safa aloe vera 300ml bottle grapes</v>
      </c>
      <c r="C532" s="105">
        <v>0.053</v>
      </c>
      <c r="D532" s="105">
        <v>0.193</v>
      </c>
      <c r="E532" s="105">
        <v>0.053</v>
      </c>
      <c r="F532" s="106">
        <f>ROUND('Meta data'!$B$1/E532,0)</f>
        <v>6</v>
      </c>
      <c r="G532" s="107"/>
      <c r="H532" s="105" t="s">
        <v>4057</v>
      </c>
      <c r="I532" s="105" t="str">
        <f>IFERROR(__xludf.DUMMYFUNCTION("GOOGLETRANSLATE(H532,""he"",""en"")"),"Safa")</f>
        <v>Safa</v>
      </c>
      <c r="J532" s="105" t="s">
        <v>4077</v>
      </c>
      <c r="K532" s="105" t="str">
        <f>IFERROR(__xludf.DUMMYFUNCTION("GOOGLETRANSLATE(J532,""he"",""en"")"),"Safa aloe vera 300ml bottle grapes")</f>
        <v>Safa aloe vera 300ml bottle grapes</v>
      </c>
      <c r="L532" s="104" t="s">
        <v>4081</v>
      </c>
      <c r="M532" s="105" t="s">
        <v>6511</v>
      </c>
      <c r="N532" s="108" t="s">
        <v>6512</v>
      </c>
      <c r="O532" s="109"/>
      <c r="P532" s="109"/>
      <c r="Q532" s="115" t="s">
        <v>4080</v>
      </c>
      <c r="R532" s="116"/>
      <c r="S532" s="118"/>
      <c r="T532" s="117"/>
      <c r="U532" s="102"/>
      <c r="V532" s="102"/>
      <c r="W532" s="102"/>
      <c r="X532" s="102"/>
      <c r="Y532" s="102"/>
      <c r="Z532" s="102"/>
      <c r="AA532" s="102"/>
      <c r="AB532" s="102"/>
      <c r="AC532" s="113"/>
      <c r="AD532" s="113"/>
      <c r="AE532" s="113"/>
    </row>
    <row r="533">
      <c r="A533" s="114">
        <v>8.850389103128E12</v>
      </c>
      <c r="B533" s="104" t="str">
        <f t="shared" si="1"/>
        <v>Safa_Safa apple bottle 330</v>
      </c>
      <c r="C533" s="105">
        <v>0.053</v>
      </c>
      <c r="D533" s="105">
        <v>0.193</v>
      </c>
      <c r="E533" s="105">
        <v>0.053</v>
      </c>
      <c r="F533" s="106">
        <f>ROUND('Meta data'!$B$1/E533,0)</f>
        <v>6</v>
      </c>
      <c r="G533" s="107"/>
      <c r="H533" s="105" t="s">
        <v>4057</v>
      </c>
      <c r="I533" s="105" t="str">
        <f>IFERROR(__xludf.DUMMYFUNCTION("GOOGLETRANSLATE(H533,""he"",""en"")"),"Safa")</f>
        <v>Safa</v>
      </c>
      <c r="J533" s="105" t="s">
        <v>4083</v>
      </c>
      <c r="K533" s="105" t="str">
        <f>IFERROR(__xludf.DUMMYFUNCTION("GOOGLETRANSLATE(J533,""he"",""en"")"),"Safa apple bottle 330")</f>
        <v>Safa apple bottle 330</v>
      </c>
      <c r="L533" s="104" t="s">
        <v>4087</v>
      </c>
      <c r="M533" s="105" t="s">
        <v>6511</v>
      </c>
      <c r="N533" s="108" t="s">
        <v>6512</v>
      </c>
      <c r="O533" s="109"/>
      <c r="P533" s="109"/>
      <c r="Q533" s="115" t="s">
        <v>4086</v>
      </c>
      <c r="R533" s="116"/>
      <c r="S533" s="118"/>
      <c r="T533" s="117"/>
      <c r="U533" s="102"/>
      <c r="V533" s="102"/>
      <c r="W533" s="102"/>
      <c r="X533" s="102"/>
      <c r="Y533" s="102"/>
      <c r="Z533" s="102"/>
      <c r="AA533" s="102"/>
      <c r="AB533" s="102"/>
      <c r="AC533" s="113"/>
      <c r="AD533" s="113"/>
      <c r="AE533" s="113"/>
    </row>
    <row r="534">
      <c r="A534" s="114">
        <v>8.850389105849E12</v>
      </c>
      <c r="B534" s="104" t="str">
        <f t="shared" si="1"/>
        <v>Safa_Safa drink aloe peach 1L</v>
      </c>
      <c r="C534" s="105">
        <v>0.08</v>
      </c>
      <c r="D534" s="105">
        <v>0.295</v>
      </c>
      <c r="E534" s="105">
        <v>0.08</v>
      </c>
      <c r="F534" s="106">
        <f>ROUND('Meta data'!$B$1/E534,0)</f>
        <v>4</v>
      </c>
      <c r="G534" s="107"/>
      <c r="H534" s="105" t="s">
        <v>4057</v>
      </c>
      <c r="I534" s="105" t="str">
        <f>IFERROR(__xludf.DUMMYFUNCTION("GOOGLETRANSLATE(H534,""he"",""en"")"),"Safa")</f>
        <v>Safa</v>
      </c>
      <c r="J534" s="105" t="s">
        <v>4089</v>
      </c>
      <c r="K534" s="105" t="str">
        <f>IFERROR(__xludf.DUMMYFUNCTION("GOOGLETRANSLATE(J534,""he"",""en"")"),"Safa drink aloe peach 1L")</f>
        <v>Safa drink aloe peach 1L</v>
      </c>
      <c r="L534" s="104" t="s">
        <v>4093</v>
      </c>
      <c r="M534" s="105" t="s">
        <v>6511</v>
      </c>
      <c r="N534" s="108" t="s">
        <v>6513</v>
      </c>
      <c r="O534" s="109"/>
      <c r="P534" s="109"/>
      <c r="Q534" s="111" t="s">
        <v>4092</v>
      </c>
      <c r="R534" s="116"/>
      <c r="S534" s="117"/>
      <c r="T534" s="117"/>
      <c r="U534" s="117"/>
      <c r="V534" s="102"/>
      <c r="W534" s="102"/>
      <c r="X534" s="102"/>
      <c r="Y534" s="102"/>
      <c r="Z534" s="102"/>
      <c r="AA534" s="102"/>
      <c r="AB534" s="102"/>
      <c r="AC534" s="113"/>
      <c r="AD534" s="113"/>
      <c r="AE534" s="113"/>
    </row>
    <row r="535">
      <c r="A535" s="114">
        <v>8.850389105832E12</v>
      </c>
      <c r="B535" s="104" t="str">
        <f t="shared" si="1"/>
        <v>Safa_Safa aloe drink 1 liter apple</v>
      </c>
      <c r="C535" s="105">
        <v>0.08</v>
      </c>
      <c r="D535" s="105">
        <v>0.295</v>
      </c>
      <c r="E535" s="105">
        <v>0.08</v>
      </c>
      <c r="F535" s="106">
        <f>ROUND('Meta data'!$B$1/E535,0)</f>
        <v>4</v>
      </c>
      <c r="G535" s="107"/>
      <c r="H535" s="105" t="s">
        <v>4057</v>
      </c>
      <c r="I535" s="105" t="str">
        <f>IFERROR(__xludf.DUMMYFUNCTION("GOOGLETRANSLATE(H535,""he"",""en"")"),"Safa")</f>
        <v>Safa</v>
      </c>
      <c r="J535" s="105" t="s">
        <v>4071</v>
      </c>
      <c r="K535" s="105" t="str">
        <f>IFERROR(__xludf.DUMMYFUNCTION("GOOGLETRANSLATE(J535,""he"",""en"")"),"Safa aloe drink 1 liter apple")</f>
        <v>Safa aloe drink 1 liter apple</v>
      </c>
      <c r="L535" s="104" t="s">
        <v>4075</v>
      </c>
      <c r="M535" s="105" t="s">
        <v>6511</v>
      </c>
      <c r="N535" s="108" t="s">
        <v>6513</v>
      </c>
      <c r="O535" s="109"/>
      <c r="P535" s="109"/>
      <c r="Q535" s="111" t="s">
        <v>4074</v>
      </c>
      <c r="R535" s="116"/>
      <c r="S535" s="117"/>
      <c r="T535" s="118"/>
      <c r="U535" s="117"/>
      <c r="V535" s="102"/>
      <c r="W535" s="102"/>
      <c r="X535" s="102"/>
      <c r="Y535" s="102"/>
      <c r="Z535" s="102"/>
      <c r="AA535" s="102"/>
      <c r="AB535" s="102"/>
      <c r="AC535" s="113"/>
      <c r="AD535" s="113"/>
      <c r="AE535" s="113"/>
    </row>
    <row r="536">
      <c r="A536" s="114">
        <v>8.850389115336E12</v>
      </c>
      <c r="B536" s="104" t="str">
        <f t="shared" si="1"/>
        <v>Safa_Aloe Vera drink flavored Safa Hotel</v>
      </c>
      <c r="C536" s="105">
        <v>0.08</v>
      </c>
      <c r="D536" s="105">
        <v>0.295</v>
      </c>
      <c r="E536" s="105">
        <v>0.08</v>
      </c>
      <c r="F536" s="106">
        <f>ROUND('Meta data'!$B$1/E536,0)</f>
        <v>4</v>
      </c>
      <c r="G536" s="107"/>
      <c r="H536" s="105" t="s">
        <v>4057</v>
      </c>
      <c r="I536" s="105" t="str">
        <f>IFERROR(__xludf.DUMMYFUNCTION("GOOGLETRANSLATE(H536,""he"",""en"")"),"Safa")</f>
        <v>Safa</v>
      </c>
      <c r="J536" s="105" t="s">
        <v>4065</v>
      </c>
      <c r="K536" s="105" t="str">
        <f>IFERROR(__xludf.DUMMYFUNCTION("GOOGLETRANSLATE(J536,""he"",""en"")"),"Aloe Vera drink flavored Safa Hotel")</f>
        <v>Aloe Vera drink flavored Safa Hotel</v>
      </c>
      <c r="L536" s="104" t="s">
        <v>4069</v>
      </c>
      <c r="M536" s="105" t="s">
        <v>6511</v>
      </c>
      <c r="N536" s="108" t="s">
        <v>6513</v>
      </c>
      <c r="O536" s="109"/>
      <c r="P536" s="109"/>
      <c r="Q536" s="115" t="s">
        <v>4068</v>
      </c>
      <c r="R536" s="111"/>
      <c r="S536" s="112"/>
      <c r="T536" s="117"/>
      <c r="U536" s="118"/>
      <c r="V536" s="117"/>
      <c r="W536" s="102"/>
      <c r="X536" s="102"/>
      <c r="Y536" s="102"/>
      <c r="Z536" s="102"/>
      <c r="AA536" s="102"/>
      <c r="AB536" s="102"/>
      <c r="AC536" s="113"/>
      <c r="AD536" s="113"/>
      <c r="AE536" s="113"/>
    </row>
    <row r="537">
      <c r="A537" s="114">
        <v>8.850389105825E12</v>
      </c>
      <c r="B537" s="104" t="str">
        <f t="shared" si="1"/>
        <v>Safa_Safa grape-flavored drink aloe</v>
      </c>
      <c r="C537" s="105">
        <v>0.08</v>
      </c>
      <c r="D537" s="105">
        <v>0.295</v>
      </c>
      <c r="E537" s="105">
        <v>0.08</v>
      </c>
      <c r="F537" s="106">
        <f>ROUND('Meta data'!$B$1/E537,0)</f>
        <v>4</v>
      </c>
      <c r="G537" s="107"/>
      <c r="H537" s="105" t="s">
        <v>4057</v>
      </c>
      <c r="I537" s="105" t="str">
        <f>IFERROR(__xludf.DUMMYFUNCTION("GOOGLETRANSLATE(H537,""he"",""en"")"),"Safa")</f>
        <v>Safa</v>
      </c>
      <c r="J537" s="105" t="s">
        <v>4095</v>
      </c>
      <c r="K537" s="105" t="str">
        <f>IFERROR(__xludf.DUMMYFUNCTION("GOOGLETRANSLATE(J537,""he"",""en"")"),"Safa grape-flavored drink aloe")</f>
        <v>Safa grape-flavored drink aloe</v>
      </c>
      <c r="L537" s="104" t="s">
        <v>4099</v>
      </c>
      <c r="M537" s="105" t="s">
        <v>6511</v>
      </c>
      <c r="N537" s="108" t="s">
        <v>6513</v>
      </c>
      <c r="O537" s="109"/>
      <c r="P537" s="109"/>
      <c r="Q537" s="115" t="s">
        <v>4098</v>
      </c>
      <c r="R537" s="115"/>
      <c r="S537" s="117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13"/>
      <c r="AD537" s="113"/>
      <c r="AE537" s="113"/>
    </row>
    <row r="538">
      <c r="A538" s="114">
        <v>7.290008464505E12</v>
      </c>
      <c r="B538" s="104" t="str">
        <f t="shared" si="1"/>
        <v>San-Benedetto_San Benedetto water, 500 ml</v>
      </c>
      <c r="C538" s="105">
        <v>0.065</v>
      </c>
      <c r="D538" s="105">
        <v>0.21</v>
      </c>
      <c r="E538" s="105">
        <v>0.065</v>
      </c>
      <c r="F538" s="106">
        <f>ROUND('Meta data'!$B$1/E538,0)</f>
        <v>5</v>
      </c>
      <c r="G538" s="107"/>
      <c r="H538" s="105" t="s">
        <v>4041</v>
      </c>
      <c r="I538" s="105" t="str">
        <f>IFERROR(__xludf.DUMMYFUNCTION("GOOGLETRANSLATE(H538,""he"",""en"")"),"San Benedetto")</f>
        <v>San Benedetto</v>
      </c>
      <c r="J538" s="105" t="s">
        <v>4042</v>
      </c>
      <c r="K538" s="105" t="str">
        <f>IFERROR(__xludf.DUMMYFUNCTION("GOOGLETRANSLATE(J538,""he"",""en"")"),"San Benedetto water, 500 ml")</f>
        <v>San Benedetto water, 500 ml</v>
      </c>
      <c r="L538" s="104" t="s">
        <v>4046</v>
      </c>
      <c r="M538" s="105" t="s">
        <v>6351</v>
      </c>
      <c r="N538" s="108" t="s">
        <v>6352</v>
      </c>
      <c r="O538" s="109"/>
      <c r="P538" s="109"/>
      <c r="Q538" s="111" t="s">
        <v>4045</v>
      </c>
      <c r="R538" s="111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13"/>
      <c r="AD538" s="113"/>
      <c r="AE538" s="113"/>
    </row>
    <row r="539">
      <c r="A539" s="114">
        <v>8.001620015612E12</v>
      </c>
      <c r="B539" s="104" t="str">
        <f t="shared" si="1"/>
        <v>San-Benedetto_San Benedetto lemon orange carrot 400 ml</v>
      </c>
      <c r="C539" s="105">
        <v>0.055</v>
      </c>
      <c r="D539" s="105">
        <v>0.205</v>
      </c>
      <c r="E539" s="105">
        <v>0.055</v>
      </c>
      <c r="F539" s="106">
        <f>ROUND('Meta data'!$B$1/E539,0)</f>
        <v>5</v>
      </c>
      <c r="G539" s="107"/>
      <c r="H539" s="105" t="s">
        <v>4027</v>
      </c>
      <c r="I539" s="105" t="str">
        <f>IFERROR(__xludf.DUMMYFUNCTION("GOOGLETRANSLATE(H539,""he"",""en"")"),"San Benedetto")</f>
        <v>San Benedetto</v>
      </c>
      <c r="J539" s="105" t="s">
        <v>4035</v>
      </c>
      <c r="K539" s="105" t="str">
        <f>IFERROR(__xludf.DUMMYFUNCTION("GOOGLETRANSLATE(J539,""he"",""en"")"),"San Benedetto lemon orange carrot 400 ml")</f>
        <v>San Benedetto lemon orange carrot 400 ml</v>
      </c>
      <c r="L539" s="104" t="s">
        <v>4039</v>
      </c>
      <c r="M539" s="105" t="s">
        <v>6420</v>
      </c>
      <c r="N539" s="108" t="s">
        <v>6421</v>
      </c>
      <c r="O539" s="109"/>
      <c r="P539" s="109"/>
      <c r="Q539" s="115" t="s">
        <v>4038</v>
      </c>
      <c r="R539" s="116"/>
      <c r="S539" s="117"/>
      <c r="T539" s="118"/>
      <c r="U539" s="117"/>
      <c r="V539" s="102"/>
      <c r="W539" s="102"/>
      <c r="X539" s="102"/>
      <c r="Y539" s="102"/>
      <c r="Z539" s="102"/>
      <c r="AA539" s="102"/>
      <c r="AB539" s="102"/>
      <c r="AC539" s="113"/>
      <c r="AD539" s="113"/>
      <c r="AE539" s="113"/>
    </row>
    <row r="540">
      <c r="A540" s="114">
        <v>8.001620015636E12</v>
      </c>
      <c r="B540" s="104" t="str">
        <f t="shared" si="1"/>
        <v>San-Benedetto_San Benedetto Fruit Mix 400 ml</v>
      </c>
      <c r="C540" s="105">
        <v>0.055</v>
      </c>
      <c r="D540" s="105">
        <v>0.205</v>
      </c>
      <c r="E540" s="105">
        <v>0.055</v>
      </c>
      <c r="F540" s="106">
        <f>ROUND('Meta data'!$B$1/E540,0)</f>
        <v>5</v>
      </c>
      <c r="G540" s="107"/>
      <c r="H540" s="105" t="s">
        <v>4027</v>
      </c>
      <c r="I540" s="105" t="str">
        <f>IFERROR(__xludf.DUMMYFUNCTION("GOOGLETRANSLATE(H540,""he"",""en"")"),"San Benedetto")</f>
        <v>San Benedetto</v>
      </c>
      <c r="J540" s="105" t="s">
        <v>4029</v>
      </c>
      <c r="K540" s="105" t="str">
        <f>IFERROR(__xludf.DUMMYFUNCTION("GOOGLETRANSLATE(J540,""he"",""en"")"),"San Benedetto Fruit Mix 400 ml")</f>
        <v>San Benedetto Fruit Mix 400 ml</v>
      </c>
      <c r="L540" s="104" t="s">
        <v>4033</v>
      </c>
      <c r="M540" s="105" t="s">
        <v>6420</v>
      </c>
      <c r="N540" s="108" t="s">
        <v>6421</v>
      </c>
      <c r="O540" s="109"/>
      <c r="P540" s="109"/>
      <c r="Q540" s="115" t="s">
        <v>4032</v>
      </c>
      <c r="R540" s="116"/>
      <c r="S540" s="117"/>
      <c r="T540" s="117"/>
      <c r="U540" s="117"/>
      <c r="V540" s="118"/>
      <c r="W540" s="102"/>
      <c r="X540" s="102"/>
      <c r="Y540" s="102"/>
      <c r="Z540" s="102"/>
      <c r="AA540" s="102"/>
      <c r="AB540" s="102"/>
      <c r="AC540" s="113"/>
      <c r="AD540" s="113"/>
      <c r="AE540" s="113"/>
    </row>
    <row r="541">
      <c r="A541" s="114">
        <v>8.002270846472E12</v>
      </c>
      <c r="B541" s="104" t="str">
        <f t="shared" si="1"/>
        <v>San-Pellegrino_San Pellegrino carbonated natural mineral water</v>
      </c>
      <c r="C541" s="105">
        <v>0.062</v>
      </c>
      <c r="D541" s="105">
        <v>0.23</v>
      </c>
      <c r="E541" s="105">
        <v>0.062</v>
      </c>
      <c r="F541" s="106">
        <f>ROUND('Meta data'!$B$1/E541,0)</f>
        <v>5</v>
      </c>
      <c r="G541" s="107"/>
      <c r="H541" s="105" t="s">
        <v>4048</v>
      </c>
      <c r="I541" s="105" t="str">
        <f>IFERROR(__xludf.DUMMYFUNCTION("GOOGLETRANSLATE(H541,""he"",""en"")"),"San Pellegrino")</f>
        <v>San Pellegrino</v>
      </c>
      <c r="J541" s="105" t="s">
        <v>4050</v>
      </c>
      <c r="K541" s="105" t="str">
        <f>IFERROR(__xludf.DUMMYFUNCTION("GOOGLETRANSLATE(J541,""he"",""en"")"),"San Pellegrino carbonated natural mineral water")</f>
        <v>San Pellegrino carbonated natural mineral water</v>
      </c>
      <c r="L541" s="104" t="s">
        <v>4054</v>
      </c>
      <c r="M541" s="105" t="s">
        <v>6406</v>
      </c>
      <c r="N541" s="108" t="s">
        <v>6407</v>
      </c>
      <c r="O541" s="109"/>
      <c r="P541" s="109"/>
      <c r="Q541" s="115" t="s">
        <v>4053</v>
      </c>
      <c r="R541" s="116"/>
      <c r="S541" s="117"/>
      <c r="T541" s="118"/>
      <c r="U541" s="117"/>
      <c r="V541" s="102"/>
      <c r="W541" s="102"/>
      <c r="X541" s="102"/>
      <c r="Y541" s="102"/>
      <c r="Z541" s="102"/>
      <c r="AA541" s="102"/>
      <c r="AB541" s="102"/>
      <c r="AC541" s="113"/>
      <c r="AD541" s="113"/>
      <c r="AE541" s="113"/>
    </row>
    <row r="542">
      <c r="A542" s="114">
        <v>7.290013702418E12</v>
      </c>
      <c r="B542" s="104" t="str">
        <f t="shared" si="1"/>
        <v>Schweppes_Schweppes Lightly Sparkling Peach 330 ml glass</v>
      </c>
      <c r="C542" s="105">
        <v>0.065</v>
      </c>
      <c r="D542" s="105">
        <v>0.221</v>
      </c>
      <c r="E542" s="105">
        <v>0.065</v>
      </c>
      <c r="F542" s="106">
        <f>ROUND('Meta data'!$B$1/E542,0)</f>
        <v>5</v>
      </c>
      <c r="G542" s="107"/>
      <c r="H542" s="105" t="s">
        <v>4107</v>
      </c>
      <c r="I542" s="105" t="str">
        <f>IFERROR(__xludf.DUMMYFUNCTION("GOOGLETRANSLATE(H542,""he"",""en"")"),"Schweppes")</f>
        <v>Schweppes</v>
      </c>
      <c r="J542" s="105" t="s">
        <v>4202</v>
      </c>
      <c r="K542" s="105" t="str">
        <f>IFERROR(__xludf.DUMMYFUNCTION("GOOGLETRANSLATE(J542,""he"",""en"")"),"Schweppes Lightly Sparkling Peach 330 ml glass")</f>
        <v>Schweppes Lightly Sparkling Peach 330 ml glass</v>
      </c>
      <c r="L542" s="104" t="s">
        <v>4206</v>
      </c>
      <c r="M542" s="105" t="s">
        <v>6580</v>
      </c>
      <c r="N542" s="108" t="s">
        <v>6581</v>
      </c>
      <c r="O542" s="109"/>
      <c r="P542" s="109"/>
      <c r="Q542" s="115" t="s">
        <v>4205</v>
      </c>
      <c r="R542" s="116"/>
      <c r="S542" s="117"/>
      <c r="T542" s="118"/>
      <c r="U542" s="117"/>
      <c r="V542" s="102"/>
      <c r="W542" s="102"/>
      <c r="X542" s="102"/>
      <c r="Y542" s="102"/>
      <c r="Z542" s="102"/>
      <c r="AA542" s="102"/>
      <c r="AB542" s="102"/>
      <c r="AC542" s="113"/>
      <c r="AD542" s="113"/>
      <c r="AE542" s="113"/>
    </row>
    <row r="543">
      <c r="A543" s="114">
        <v>7.290013702425E12</v>
      </c>
      <c r="B543" s="104" t="str">
        <f t="shared" si="1"/>
        <v>Schweppes_Schweppes carbonated berry delicate glass 330 ml</v>
      </c>
      <c r="C543" s="105">
        <v>0.065</v>
      </c>
      <c r="D543" s="105">
        <v>0.221</v>
      </c>
      <c r="E543" s="105">
        <v>0.065</v>
      </c>
      <c r="F543" s="106">
        <f>ROUND('Meta data'!$B$1/E543,0)</f>
        <v>5</v>
      </c>
      <c r="G543" s="107"/>
      <c r="H543" s="105" t="s">
        <v>4107</v>
      </c>
      <c r="I543" s="105" t="str">
        <f>IFERROR(__xludf.DUMMYFUNCTION("GOOGLETRANSLATE(H543,""he"",""en"")"),"Schweppes")</f>
        <v>Schweppes</v>
      </c>
      <c r="J543" s="105" t="s">
        <v>4133</v>
      </c>
      <c r="K543" s="105" t="str">
        <f>IFERROR(__xludf.DUMMYFUNCTION("GOOGLETRANSLATE(J543,""he"",""en"")"),"Schweppes carbonated berry delicate glass 330 ml")</f>
        <v>Schweppes carbonated berry delicate glass 330 ml</v>
      </c>
      <c r="L543" s="104" t="s">
        <v>4139</v>
      </c>
      <c r="M543" s="105" t="s">
        <v>6580</v>
      </c>
      <c r="N543" s="108" t="s">
        <v>6581</v>
      </c>
      <c r="O543" s="109"/>
      <c r="P543" s="109"/>
      <c r="Q543" s="115" t="s">
        <v>4138</v>
      </c>
      <c r="R543" s="116"/>
      <c r="S543" s="118"/>
      <c r="T543" s="117"/>
      <c r="U543" s="102"/>
      <c r="V543" s="102"/>
      <c r="W543" s="102"/>
      <c r="X543" s="102"/>
      <c r="Y543" s="102"/>
      <c r="Z543" s="102"/>
      <c r="AA543" s="102"/>
      <c r="AB543" s="102"/>
      <c r="AC543" s="113"/>
      <c r="AD543" s="113"/>
      <c r="AE543" s="113"/>
    </row>
    <row r="544">
      <c r="A544" s="114">
        <v>7.290011051396E12</v>
      </c>
      <c r="B544" s="104" t="str">
        <f t="shared" si="1"/>
        <v>Schweppes_Schweppes Lightly Sparkling Peach 1.5 L.</v>
      </c>
      <c r="C544" s="105">
        <v>0.09</v>
      </c>
      <c r="D544" s="105">
        <v>0.33</v>
      </c>
      <c r="E544" s="105">
        <v>0.09</v>
      </c>
      <c r="F544" s="106">
        <f>ROUND('Meta data'!$B$1/E544,0)</f>
        <v>3</v>
      </c>
      <c r="G544" s="107"/>
      <c r="H544" s="105" t="s">
        <v>4107</v>
      </c>
      <c r="I544" s="105" t="str">
        <f>IFERROR(__xludf.DUMMYFUNCTION("GOOGLETRANSLATE(H544,""he"",""en"")"),"Schweppes")</f>
        <v>Schweppes</v>
      </c>
      <c r="J544" s="105" t="s">
        <v>4196</v>
      </c>
      <c r="K544" s="105" t="str">
        <f>IFERROR(__xludf.DUMMYFUNCTION("GOOGLETRANSLATE(J544,""he"",""en"")"),"Schweppes Lightly Sparkling Peach 1.5 L.")</f>
        <v>Schweppes Lightly Sparkling Peach 1.5 L.</v>
      </c>
      <c r="L544" s="104" t="s">
        <v>4200</v>
      </c>
      <c r="M544" s="105" t="s">
        <v>6580</v>
      </c>
      <c r="N544" s="108" t="s">
        <v>6582</v>
      </c>
      <c r="O544" s="109"/>
      <c r="P544" s="109"/>
      <c r="Q544" s="115" t="s">
        <v>4199</v>
      </c>
      <c r="R544" s="115"/>
      <c r="S544" s="117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13"/>
      <c r="AD544" s="113"/>
      <c r="AE544" s="113"/>
    </row>
    <row r="545">
      <c r="A545" s="114">
        <v>7.290011051389E12</v>
      </c>
      <c r="B545" s="104" t="str">
        <f t="shared" si="1"/>
        <v>Schweppes_Schweppes Lightly Sparkling Berries 1.5 L.</v>
      </c>
      <c r="C545" s="105">
        <v>0.09</v>
      </c>
      <c r="D545" s="105">
        <v>0.33</v>
      </c>
      <c r="E545" s="105">
        <v>0.09</v>
      </c>
      <c r="F545" s="106">
        <f>ROUND('Meta data'!$B$1/E545,0)</f>
        <v>3</v>
      </c>
      <c r="G545" s="107"/>
      <c r="H545" s="105" t="s">
        <v>4107</v>
      </c>
      <c r="I545" s="105" t="str">
        <f>IFERROR(__xludf.DUMMYFUNCTION("GOOGLETRANSLATE(H545,""he"",""en"")"),"Schweppes")</f>
        <v>Schweppes</v>
      </c>
      <c r="J545" s="105" t="s">
        <v>4189</v>
      </c>
      <c r="K545" s="105" t="str">
        <f>IFERROR(__xludf.DUMMYFUNCTION("GOOGLETRANSLATE(J545,""he"",""en"")"),"Schweppes Lightly Sparkling Berries 1.5 L.")</f>
        <v>Schweppes Lightly Sparkling Berries 1.5 L.</v>
      </c>
      <c r="L545" s="104" t="s">
        <v>4194</v>
      </c>
      <c r="M545" s="105" t="s">
        <v>6580</v>
      </c>
      <c r="N545" s="108" t="s">
        <v>6582</v>
      </c>
      <c r="O545" s="109"/>
      <c r="P545" s="109"/>
      <c r="Q545" s="115" t="s">
        <v>4193</v>
      </c>
      <c r="R545" s="116"/>
      <c r="S545" s="118"/>
      <c r="T545" s="117"/>
      <c r="U545" s="102"/>
      <c r="V545" s="102"/>
      <c r="W545" s="102"/>
      <c r="X545" s="102"/>
      <c r="Y545" s="102"/>
      <c r="Z545" s="102"/>
      <c r="AA545" s="102"/>
      <c r="AB545" s="102"/>
      <c r="AC545" s="113"/>
      <c r="AD545" s="113"/>
      <c r="AE545" s="113"/>
    </row>
    <row r="546">
      <c r="A546" s="114">
        <v>7.290012404238E12</v>
      </c>
      <c r="B546" s="104" t="str">
        <f t="shared" si="1"/>
        <v>Schweppes_Schweppes heads 1.5 L.</v>
      </c>
      <c r="C546" s="105">
        <v>0.09</v>
      </c>
      <c r="D546" s="105">
        <v>0.329</v>
      </c>
      <c r="E546" s="105">
        <v>0.09</v>
      </c>
      <c r="F546" s="106">
        <f>ROUND('Meta data'!$B$1/E546,0)</f>
        <v>3</v>
      </c>
      <c r="G546" s="107"/>
      <c r="H546" s="105" t="s">
        <v>4107</v>
      </c>
      <c r="I546" s="105" t="str">
        <f>IFERROR(__xludf.DUMMYFUNCTION("GOOGLETRANSLATE(H546,""he"",""en"")"),"Schweppes")</f>
        <v>Schweppes</v>
      </c>
      <c r="J546" s="105" t="s">
        <v>4181</v>
      </c>
      <c r="K546" s="105" t="str">
        <f>IFERROR(__xludf.DUMMYFUNCTION("GOOGLETRANSLATE(J546,""he"",""en"")"),"Schweppes heads 1.5 L.")</f>
        <v>Schweppes heads 1.5 L.</v>
      </c>
      <c r="L546" s="104" t="s">
        <v>4187</v>
      </c>
      <c r="M546" s="105" t="s">
        <v>6583</v>
      </c>
      <c r="N546" s="108" t="s">
        <v>6584</v>
      </c>
      <c r="O546" s="109"/>
      <c r="P546" s="109"/>
      <c r="Q546" s="115" t="s">
        <v>4186</v>
      </c>
      <c r="R546" s="116"/>
      <c r="S546" s="117"/>
      <c r="T546" s="117"/>
      <c r="U546" s="118"/>
      <c r="V546" s="117"/>
      <c r="W546" s="102"/>
      <c r="X546" s="102"/>
      <c r="Y546" s="102"/>
      <c r="Z546" s="102"/>
      <c r="AA546" s="102"/>
      <c r="AB546" s="102"/>
      <c r="AC546" s="113"/>
      <c r="AD546" s="113"/>
      <c r="AE546" s="113"/>
    </row>
    <row r="547">
      <c r="A547" s="114">
        <v>7.290011051358E12</v>
      </c>
      <c r="B547" s="104" t="str">
        <f t="shared" si="1"/>
        <v>Schweppes_Schweppes soda lime glass 250 ml</v>
      </c>
      <c r="C547" s="105">
        <v>0.053</v>
      </c>
      <c r="D547" s="105">
        <v>0.196</v>
      </c>
      <c r="E547" s="105">
        <v>0.053</v>
      </c>
      <c r="F547" s="106">
        <f>ROUND('Meta data'!$B$1/E547,0)</f>
        <v>6</v>
      </c>
      <c r="G547" s="107"/>
      <c r="H547" s="105" t="s">
        <v>4107</v>
      </c>
      <c r="I547" s="105" t="str">
        <f>IFERROR(__xludf.DUMMYFUNCTION("GOOGLETRANSLATE(H547,""he"",""en"")"),"Schweppes")</f>
        <v>Schweppes</v>
      </c>
      <c r="J547" s="105" t="s">
        <v>4226</v>
      </c>
      <c r="K547" s="105" t="str">
        <f>IFERROR(__xludf.DUMMYFUNCTION("GOOGLETRANSLATE(J547,""he"",""en"")"),"Schweppes soda lime glass 250 ml")</f>
        <v>Schweppes soda lime glass 250 ml</v>
      </c>
      <c r="L547" s="104" t="s">
        <v>4230</v>
      </c>
      <c r="M547" s="105" t="s">
        <v>6464</v>
      </c>
      <c r="N547" s="108" t="s">
        <v>6585</v>
      </c>
      <c r="O547" s="109"/>
      <c r="P547" s="109"/>
      <c r="Q547" s="115" t="s">
        <v>4229</v>
      </c>
      <c r="R547" s="116"/>
      <c r="S547" s="117"/>
      <c r="T547" s="117"/>
      <c r="U547" s="117"/>
      <c r="V547" s="118"/>
      <c r="W547" s="102"/>
      <c r="X547" s="102"/>
      <c r="Y547" s="102"/>
      <c r="Z547" s="102"/>
      <c r="AA547" s="102"/>
      <c r="AB547" s="102"/>
      <c r="AC547" s="113"/>
      <c r="AD547" s="113"/>
      <c r="AE547" s="113"/>
    </row>
    <row r="548">
      <c r="A548" s="114">
        <v>7.290014791626E12</v>
      </c>
      <c r="B548" s="104" t="str">
        <f t="shared" si="1"/>
        <v>Schweppes_Schweppes soda lime mint 250ml glass</v>
      </c>
      <c r="C548" s="105">
        <v>0.053</v>
      </c>
      <c r="D548" s="105">
        <v>0.196</v>
      </c>
      <c r="E548" s="105">
        <v>0.053</v>
      </c>
      <c r="F548" s="106">
        <f>ROUND('Meta data'!$B$1/E548,0)</f>
        <v>6</v>
      </c>
      <c r="G548" s="107"/>
      <c r="H548" s="105" t="s">
        <v>4107</v>
      </c>
      <c r="I548" s="105" t="str">
        <f>IFERROR(__xludf.DUMMYFUNCTION("GOOGLETRANSLATE(H548,""he"",""en"")"),"Schweppes")</f>
        <v>Schweppes</v>
      </c>
      <c r="J548" s="105" t="s">
        <v>4232</v>
      </c>
      <c r="K548" s="105" t="str">
        <f>IFERROR(__xludf.DUMMYFUNCTION("GOOGLETRANSLATE(J548,""he"",""en"")"),"Schweppes soda lime mint 250ml glass")</f>
        <v>Schweppes soda lime mint 250ml glass</v>
      </c>
      <c r="L548" s="104" t="s">
        <v>4236</v>
      </c>
      <c r="M548" s="105" t="s">
        <v>6464</v>
      </c>
      <c r="N548" s="108" t="s">
        <v>6585</v>
      </c>
      <c r="O548" s="109"/>
      <c r="P548" s="109"/>
      <c r="Q548" s="111" t="s">
        <v>4235</v>
      </c>
      <c r="R548" s="116"/>
      <c r="S548" s="117"/>
      <c r="T548" s="117"/>
      <c r="U548" s="117"/>
      <c r="V548" s="118"/>
      <c r="W548" s="117" t="s">
        <v>6586</v>
      </c>
      <c r="X548" s="102"/>
      <c r="Y548" s="102"/>
      <c r="Z548" s="102"/>
      <c r="AA548" s="102"/>
      <c r="AB548" s="102"/>
      <c r="AC548" s="113"/>
      <c r="AD548" s="113"/>
      <c r="AE548" s="113"/>
    </row>
    <row r="549">
      <c r="A549" s="114">
        <v>7.290008757034E12</v>
      </c>
      <c r="B549" s="104" t="str">
        <f t="shared" si="1"/>
        <v>Schweppes_Schweppes soda, 250 ml</v>
      </c>
      <c r="C549" s="105">
        <v>0.053</v>
      </c>
      <c r="D549" s="105">
        <v>0.196</v>
      </c>
      <c r="E549" s="105">
        <v>0.053</v>
      </c>
      <c r="F549" s="106">
        <f>ROUND('Meta data'!$B$1/E549,0)</f>
        <v>6</v>
      </c>
      <c r="G549" s="107"/>
      <c r="H549" s="105" t="s">
        <v>4107</v>
      </c>
      <c r="I549" s="105" t="str">
        <f>IFERROR(__xludf.DUMMYFUNCTION("GOOGLETRANSLATE(H549,""he"",""en"")"),"Schweppes")</f>
        <v>Schweppes</v>
      </c>
      <c r="J549" s="105" t="s">
        <v>4244</v>
      </c>
      <c r="K549" s="105" t="str">
        <f>IFERROR(__xludf.DUMMYFUNCTION("GOOGLETRANSLATE(J549,""he"",""en"")"),"Schweppes soda, 250 ml")</f>
        <v>Schweppes soda, 250 ml</v>
      </c>
      <c r="L549" s="104" t="s">
        <v>4248</v>
      </c>
      <c r="M549" s="105" t="s">
        <v>6464</v>
      </c>
      <c r="N549" s="108" t="s">
        <v>6585</v>
      </c>
      <c r="O549" s="109"/>
      <c r="P549" s="109"/>
      <c r="Q549" s="111" t="s">
        <v>4247</v>
      </c>
      <c r="R549" s="116"/>
      <c r="S549" s="117"/>
      <c r="T549" s="117"/>
      <c r="U549" s="117"/>
      <c r="V549" s="117"/>
      <c r="W549" s="102"/>
      <c r="X549" s="102"/>
      <c r="Y549" s="102"/>
      <c r="Z549" s="102"/>
      <c r="AA549" s="102"/>
      <c r="AB549" s="102"/>
      <c r="AC549" s="113"/>
      <c r="AD549" s="113"/>
      <c r="AE549" s="113"/>
    </row>
    <row r="550">
      <c r="A550" s="114">
        <v>7.290000285849E12</v>
      </c>
      <c r="B550" s="104" t="str">
        <f t="shared" si="1"/>
        <v>Schweppes_Schweppes soda water 1.5 liters</v>
      </c>
      <c r="C550" s="105">
        <v>0.09</v>
      </c>
      <c r="D550" s="105">
        <v>0.329</v>
      </c>
      <c r="E550" s="105">
        <v>0.09</v>
      </c>
      <c r="F550" s="106">
        <f>ROUND('Meta data'!$B$1/E550,0)</f>
        <v>3</v>
      </c>
      <c r="G550" s="107"/>
      <c r="H550" s="105" t="s">
        <v>4107</v>
      </c>
      <c r="I550" s="105" t="str">
        <f>IFERROR(__xludf.DUMMYFUNCTION("GOOGLETRANSLATE(H550,""he"",""en"")"),"Schweppes")</f>
        <v>Schweppes</v>
      </c>
      <c r="J550" s="105" t="s">
        <v>4238</v>
      </c>
      <c r="K550" s="105" t="str">
        <f>IFERROR(__xludf.DUMMYFUNCTION("GOOGLETRANSLATE(J550,""he"",""en"")"),"Schweppes soda water 1.5 liters")</f>
        <v>Schweppes soda water 1.5 liters</v>
      </c>
      <c r="L550" s="104" t="s">
        <v>4242</v>
      </c>
      <c r="M550" s="105" t="s">
        <v>6464</v>
      </c>
      <c r="N550" s="108" t="s">
        <v>6466</v>
      </c>
      <c r="O550" s="109"/>
      <c r="P550" s="109"/>
      <c r="Q550" s="111" t="s">
        <v>4241</v>
      </c>
      <c r="R550" s="111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13"/>
      <c r="AD550" s="113"/>
      <c r="AE550" s="113"/>
    </row>
    <row r="551">
      <c r="A551" s="114">
        <v>7.290017888729E12</v>
      </c>
      <c r="B551" s="104" t="str">
        <f t="shared" si="1"/>
        <v>Schweppes_Schweppes Soda 1 L strong gasification</v>
      </c>
      <c r="C551" s="105">
        <v>0.085</v>
      </c>
      <c r="D551" s="105">
        <v>0.297</v>
      </c>
      <c r="E551" s="105">
        <v>0.085</v>
      </c>
      <c r="F551" s="106">
        <f>ROUND('Meta data'!$B$1/E551,0)</f>
        <v>4</v>
      </c>
      <c r="G551" s="107"/>
      <c r="H551" s="105" t="s">
        <v>4107</v>
      </c>
      <c r="I551" s="105" t="str">
        <f>IFERROR(__xludf.DUMMYFUNCTION("GOOGLETRANSLATE(H551,""he"",""en"")"),"Schweppes")</f>
        <v>Schweppes</v>
      </c>
      <c r="J551" s="105" t="s">
        <v>4220</v>
      </c>
      <c r="K551" s="105" t="str">
        <f>IFERROR(__xludf.DUMMYFUNCTION("GOOGLETRANSLATE(J551,""he"",""en"")"),"Schweppes Soda 1 L strong gasification")</f>
        <v>Schweppes Soda 1 L strong gasification</v>
      </c>
      <c r="L551" s="104" t="s">
        <v>4224</v>
      </c>
      <c r="M551" s="105" t="s">
        <v>6464</v>
      </c>
      <c r="N551" s="108" t="s">
        <v>6466</v>
      </c>
      <c r="O551" s="109"/>
      <c r="P551" s="109"/>
      <c r="Q551" s="111" t="s">
        <v>4223</v>
      </c>
      <c r="R551" s="116"/>
      <c r="S551" s="117"/>
      <c r="T551" s="117"/>
      <c r="U551" s="102"/>
      <c r="V551" s="102"/>
      <c r="W551" s="102"/>
      <c r="X551" s="102"/>
      <c r="Y551" s="102"/>
      <c r="Z551" s="102"/>
      <c r="AA551" s="102"/>
      <c r="AB551" s="102"/>
      <c r="AC551" s="113"/>
      <c r="AD551" s="113"/>
      <c r="AE551" s="113"/>
    </row>
    <row r="552">
      <c r="A552" s="114">
        <v>7.290017888842E12</v>
      </c>
      <c r="B552" s="104" t="str">
        <f t="shared" si="1"/>
        <v>Schweppes_Schweppes pineapple strawberry 330 ml can</v>
      </c>
      <c r="C552" s="105">
        <v>0.058</v>
      </c>
      <c r="D552" s="105">
        <v>0.145</v>
      </c>
      <c r="E552" s="105">
        <v>0.058</v>
      </c>
      <c r="F552" s="106">
        <f>ROUND('Meta data'!$B$1/E552,0)</f>
        <v>5</v>
      </c>
      <c r="G552" s="107"/>
      <c r="H552" s="105" t="s">
        <v>4107</v>
      </c>
      <c r="I552" s="105" t="str">
        <f>IFERROR(__xludf.DUMMYFUNCTION("GOOGLETRANSLATE(H552,""he"",""en"")"),"Schweppes")</f>
        <v>Schweppes</v>
      </c>
      <c r="J552" s="105" t="s">
        <v>4214</v>
      </c>
      <c r="K552" s="105" t="str">
        <f>IFERROR(__xludf.DUMMYFUNCTION("GOOGLETRANSLATE(J552,""he"",""en"")"),"Schweppes pineapple strawberry 330 ml can")</f>
        <v>Schweppes pineapple strawberry 330 ml can</v>
      </c>
      <c r="L552" s="104" t="s">
        <v>4218</v>
      </c>
      <c r="M552" s="105" t="s">
        <v>6496</v>
      </c>
      <c r="N552" s="108" t="s">
        <v>6497</v>
      </c>
      <c r="O552" s="109"/>
      <c r="P552" s="109"/>
      <c r="Q552" s="115" t="s">
        <v>4217</v>
      </c>
      <c r="R552" s="116"/>
      <c r="S552" s="118"/>
      <c r="T552" s="117"/>
      <c r="U552" s="102"/>
      <c r="V552" s="102"/>
      <c r="W552" s="102"/>
      <c r="X552" s="102"/>
      <c r="Y552" s="102"/>
      <c r="Z552" s="102"/>
      <c r="AA552" s="102"/>
      <c r="AB552" s="102"/>
      <c r="AC552" s="113"/>
      <c r="AD552" s="113"/>
      <c r="AE552" s="113"/>
    </row>
    <row r="553">
      <c r="A553" s="114">
        <v>7.290017888866E12</v>
      </c>
      <c r="B553" s="104" t="str">
        <f t="shared" si="1"/>
        <v>Schweppes_Schweppes Asay 330 ml can of cherry</v>
      </c>
      <c r="C553" s="105">
        <v>0.058</v>
      </c>
      <c r="D553" s="105">
        <v>0.145</v>
      </c>
      <c r="E553" s="105">
        <v>0.058</v>
      </c>
      <c r="F553" s="106">
        <f>ROUND('Meta data'!$B$1/E553,0)</f>
        <v>5</v>
      </c>
      <c r="G553" s="107"/>
      <c r="H553" s="105" t="s">
        <v>4107</v>
      </c>
      <c r="I553" s="105" t="str">
        <f>IFERROR(__xludf.DUMMYFUNCTION("GOOGLETRANSLATE(H553,""he"",""en"")"),"Schweppes")</f>
        <v>Schweppes</v>
      </c>
      <c r="J553" s="105" t="s">
        <v>4109</v>
      </c>
      <c r="K553" s="105" t="str">
        <f>IFERROR(__xludf.DUMMYFUNCTION("GOOGLETRANSLATE(J553,""he"",""en"")"),"Schweppes Asay 330 ml can of cherry")</f>
        <v>Schweppes Asay 330 ml can of cherry</v>
      </c>
      <c r="L553" s="104" t="s">
        <v>4113</v>
      </c>
      <c r="M553" s="105" t="s">
        <v>6496</v>
      </c>
      <c r="N553" s="108" t="s">
        <v>6497</v>
      </c>
      <c r="O553" s="109"/>
      <c r="P553" s="109"/>
      <c r="Q553" s="115" t="s">
        <v>4112</v>
      </c>
      <c r="R553" s="116"/>
      <c r="S553" s="117"/>
      <c r="T553" s="118"/>
      <c r="U553" s="117"/>
      <c r="V553" s="102"/>
      <c r="W553" s="102"/>
      <c r="X553" s="102"/>
      <c r="Y553" s="102"/>
      <c r="Z553" s="102"/>
      <c r="AA553" s="102"/>
      <c r="AB553" s="102"/>
      <c r="AC553" s="113"/>
      <c r="AD553" s="113"/>
      <c r="AE553" s="113"/>
    </row>
    <row r="554">
      <c r="A554" s="114">
        <v>7.29000875701E12</v>
      </c>
      <c r="B554" s="104" t="str">
        <f t="shared" si="1"/>
        <v>Schweppes_Schweppes Bitter Lemon 250ml</v>
      </c>
      <c r="C554" s="105">
        <v>0.053</v>
      </c>
      <c r="D554" s="105">
        <v>0.196</v>
      </c>
      <c r="E554" s="105">
        <v>0.053</v>
      </c>
      <c r="F554" s="106">
        <f>ROUND('Meta data'!$B$1/E554,0)</f>
        <v>6</v>
      </c>
      <c r="G554" s="107"/>
      <c r="H554" s="105" t="s">
        <v>4107</v>
      </c>
      <c r="I554" s="105" t="str">
        <f>IFERROR(__xludf.DUMMYFUNCTION("GOOGLETRANSLATE(H554,""he"",""en"")"),"Schweppes")</f>
        <v>Schweppes</v>
      </c>
      <c r="J554" s="105" t="s">
        <v>4115</v>
      </c>
      <c r="K554" s="105" t="str">
        <f>IFERROR(__xludf.DUMMYFUNCTION("GOOGLETRANSLATE(J554,""he"",""en"")"),"Schweppes Bitter Lemon 250ml")</f>
        <v>Schweppes Bitter Lemon 250ml</v>
      </c>
      <c r="L554" s="104" t="s">
        <v>4119</v>
      </c>
      <c r="M554" s="105" t="s">
        <v>6496</v>
      </c>
      <c r="N554" s="108" t="s">
        <v>6497</v>
      </c>
      <c r="O554" s="109"/>
      <c r="P554" s="109"/>
      <c r="Q554" s="115" t="s">
        <v>4118</v>
      </c>
      <c r="R554" s="116"/>
      <c r="S554" s="117"/>
      <c r="T554" s="117"/>
      <c r="U554" s="117"/>
      <c r="V554" s="112"/>
      <c r="W554" s="118">
        <v>7.0</v>
      </c>
      <c r="X554" s="102"/>
      <c r="Y554" s="102"/>
      <c r="Z554" s="102"/>
      <c r="AA554" s="102"/>
      <c r="AB554" s="102"/>
      <c r="AC554" s="113"/>
      <c r="AD554" s="113"/>
      <c r="AE554" s="113"/>
    </row>
    <row r="555">
      <c r="A555" s="114">
        <v>7.290018471111E12</v>
      </c>
      <c r="B555" s="104" t="str">
        <f t="shared" si="1"/>
        <v>Schweppes_Schweppes Lime Mojito 330 ml</v>
      </c>
      <c r="C555" s="105">
        <v>0.065</v>
      </c>
      <c r="D555" s="105">
        <v>0.221</v>
      </c>
      <c r="E555" s="105">
        <v>0.065</v>
      </c>
      <c r="F555" s="106">
        <f>ROUND('Meta data'!$B$1/E555,0)</f>
        <v>5</v>
      </c>
      <c r="G555" s="107"/>
      <c r="H555" s="105" t="s">
        <v>4107</v>
      </c>
      <c r="I555" s="105" t="str">
        <f>IFERROR(__xludf.DUMMYFUNCTION("GOOGLETRANSLATE(H555,""he"",""en"")"),"Schweppes")</f>
        <v>Schweppes</v>
      </c>
      <c r="J555" s="105" t="s">
        <v>4208</v>
      </c>
      <c r="K555" s="105" t="str">
        <f>IFERROR(__xludf.DUMMYFUNCTION("GOOGLETRANSLATE(J555,""he"",""en"")"),"Schweppes Lime Mojito 330 ml")</f>
        <v>Schweppes Lime Mojito 330 ml</v>
      </c>
      <c r="L555" s="104" t="s">
        <v>4212</v>
      </c>
      <c r="M555" s="105" t="s">
        <v>6496</v>
      </c>
      <c r="N555" s="108" t="s">
        <v>6497</v>
      </c>
      <c r="O555" s="109"/>
      <c r="P555" s="109"/>
      <c r="Q555" s="115" t="s">
        <v>4211</v>
      </c>
      <c r="R555" s="115"/>
      <c r="S555" s="117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13"/>
      <c r="AD555" s="113"/>
      <c r="AE555" s="113"/>
    </row>
    <row r="556">
      <c r="A556" s="114">
        <v>7.290012404184E12</v>
      </c>
      <c r="B556" s="104" t="str">
        <f t="shared" si="1"/>
        <v>Schweppes_Schweppes carbonated fruit Lemons 330 ml glass</v>
      </c>
      <c r="C556" s="105">
        <v>0.065</v>
      </c>
      <c r="D556" s="105">
        <v>0.221</v>
      </c>
      <c r="E556" s="105">
        <v>0.065</v>
      </c>
      <c r="F556" s="106">
        <f>ROUND('Meta data'!$B$1/E556,0)</f>
        <v>5</v>
      </c>
      <c r="G556" s="107"/>
      <c r="H556" s="105" t="s">
        <v>4107</v>
      </c>
      <c r="I556" s="105" t="str">
        <f>IFERROR(__xludf.DUMMYFUNCTION("GOOGLETRANSLATE(H556,""he"",""en"")"),"Schweppes")</f>
        <v>Schweppes</v>
      </c>
      <c r="J556" s="105" t="s">
        <v>4141</v>
      </c>
      <c r="K556" s="105" t="str">
        <f>IFERROR(__xludf.DUMMYFUNCTION("GOOGLETRANSLATE(J556,""he"",""en"")"),"Schweppes carbonated fruit Lemons 330 ml glass")</f>
        <v>Schweppes carbonated fruit Lemons 330 ml glass</v>
      </c>
      <c r="L556" s="104" t="s">
        <v>4145</v>
      </c>
      <c r="M556" s="105" t="s">
        <v>6496</v>
      </c>
      <c r="N556" s="108" t="s">
        <v>6497</v>
      </c>
      <c r="O556" s="109"/>
      <c r="P556" s="109"/>
      <c r="Q556" s="115" t="s">
        <v>4144</v>
      </c>
      <c r="R556" s="116"/>
      <c r="S556" s="117"/>
      <c r="T556" s="117"/>
      <c r="U556" s="117"/>
      <c r="V556" s="117"/>
      <c r="W556" s="102"/>
      <c r="X556" s="102"/>
      <c r="Y556" s="102"/>
      <c r="Z556" s="102"/>
      <c r="AA556" s="102"/>
      <c r="AB556" s="102"/>
      <c r="AC556" s="113"/>
      <c r="AD556" s="113"/>
      <c r="AE556" s="113"/>
    </row>
    <row r="557">
      <c r="A557" s="114">
        <v>7.290014791572E12</v>
      </c>
      <c r="B557" s="104" t="str">
        <f t="shared" si="1"/>
        <v>Schweppes_Schweppes carbonated grape fruit glass 330 ml</v>
      </c>
      <c r="C557" s="105">
        <v>0.065</v>
      </c>
      <c r="D557" s="105">
        <v>0.221</v>
      </c>
      <c r="E557" s="105">
        <v>0.065</v>
      </c>
      <c r="F557" s="106">
        <f>ROUND('Meta data'!$B$1/E557,0)</f>
        <v>5</v>
      </c>
      <c r="G557" s="107"/>
      <c r="H557" s="105" t="s">
        <v>4107</v>
      </c>
      <c r="I557" s="105" t="str">
        <f>IFERROR(__xludf.DUMMYFUNCTION("GOOGLETRANSLATE(H557,""he"",""en"")"),"Schweppes")</f>
        <v>Schweppes</v>
      </c>
      <c r="J557" s="105" t="s">
        <v>4163</v>
      </c>
      <c r="K557" s="105" t="str">
        <f>IFERROR(__xludf.DUMMYFUNCTION("GOOGLETRANSLATE(J557,""he"",""en"")"),"Schweppes carbonated grape fruit glass 330 ml")</f>
        <v>Schweppes carbonated grape fruit glass 330 ml</v>
      </c>
      <c r="L557" s="104" t="s">
        <v>4167</v>
      </c>
      <c r="M557" s="105" t="s">
        <v>6496</v>
      </c>
      <c r="N557" s="108" t="s">
        <v>6497</v>
      </c>
      <c r="O557" s="109"/>
      <c r="P557" s="109"/>
      <c r="Q557" s="115" t="s">
        <v>4166</v>
      </c>
      <c r="R557" s="116"/>
      <c r="S557" s="117"/>
      <c r="T557" s="117"/>
      <c r="U557" s="118"/>
      <c r="V557" s="117"/>
      <c r="W557" s="102"/>
      <c r="X557" s="102"/>
      <c r="Y557" s="102"/>
      <c r="Z557" s="102"/>
      <c r="AA557" s="102"/>
      <c r="AB557" s="102"/>
      <c r="AC557" s="113"/>
      <c r="AD557" s="113"/>
      <c r="AE557" s="113"/>
    </row>
    <row r="558">
      <c r="A558" s="114">
        <v>7.290016006377E12</v>
      </c>
      <c r="B558" s="104" t="str">
        <f t="shared" si="1"/>
        <v>Schweppes_Schweppes carbonated fruit strawberry lime glass 330 ml</v>
      </c>
      <c r="C558" s="105">
        <v>0.065</v>
      </c>
      <c r="D558" s="105">
        <v>0.221</v>
      </c>
      <c r="E558" s="105">
        <v>0.065</v>
      </c>
      <c r="F558" s="106">
        <f>ROUND('Meta data'!$B$1/E558,0)</f>
        <v>5</v>
      </c>
      <c r="G558" s="107"/>
      <c r="H558" s="105" t="s">
        <v>4107</v>
      </c>
      <c r="I558" s="105" t="str">
        <f>IFERROR(__xludf.DUMMYFUNCTION("GOOGLETRANSLATE(H558,""he"",""en"")"),"Schweppes")</f>
        <v>Schweppes</v>
      </c>
      <c r="J558" s="105" t="s">
        <v>4157</v>
      </c>
      <c r="K558" s="105" t="str">
        <f>IFERROR(__xludf.DUMMYFUNCTION("GOOGLETRANSLATE(J558,""he"",""en"")"),"Schweppes carbonated fruit strawberry lime glass 330 ml")</f>
        <v>Schweppes carbonated fruit strawberry lime glass 330 ml</v>
      </c>
      <c r="L558" s="104" t="s">
        <v>4161</v>
      </c>
      <c r="M558" s="105" t="s">
        <v>6496</v>
      </c>
      <c r="N558" s="108" t="s">
        <v>6497</v>
      </c>
      <c r="O558" s="109"/>
      <c r="P558" s="109"/>
      <c r="Q558" s="115" t="s">
        <v>4160</v>
      </c>
      <c r="R558" s="116"/>
      <c r="S558" s="117"/>
      <c r="T558" s="117"/>
      <c r="U558" s="117"/>
      <c r="V558" s="102"/>
      <c r="W558" s="102"/>
      <c r="X558" s="102"/>
      <c r="Y558" s="102"/>
      <c r="Z558" s="102"/>
      <c r="AA558" s="102"/>
      <c r="AB558" s="102"/>
      <c r="AC558" s="113"/>
      <c r="AD558" s="113"/>
      <c r="AE558" s="113"/>
    </row>
    <row r="559">
      <c r="A559" s="114">
        <v>7.290012404177E12</v>
      </c>
      <c r="B559" s="104" t="str">
        <f t="shared" si="1"/>
        <v>Schweppes_Schweppes carbonated apple fruit glass 330 ml</v>
      </c>
      <c r="C559" s="105">
        <v>0.065</v>
      </c>
      <c r="D559" s="105">
        <v>0.221</v>
      </c>
      <c r="E559" s="105">
        <v>0.065</v>
      </c>
      <c r="F559" s="106">
        <f>ROUND('Meta data'!$B$1/E559,0)</f>
        <v>5</v>
      </c>
      <c r="G559" s="107"/>
      <c r="H559" s="105" t="s">
        <v>4107</v>
      </c>
      <c r="I559" s="105" t="str">
        <f>IFERROR(__xludf.DUMMYFUNCTION("GOOGLETRANSLATE(H559,""he"",""en"")"),"Schweppes")</f>
        <v>Schweppes</v>
      </c>
      <c r="J559" s="105" t="s">
        <v>4127</v>
      </c>
      <c r="K559" s="105" t="str">
        <f>IFERROR(__xludf.DUMMYFUNCTION("GOOGLETRANSLATE(J559,""he"",""en"")"),"Schweppes carbonated apple fruit glass 330 ml")</f>
        <v>Schweppes carbonated apple fruit glass 330 ml</v>
      </c>
      <c r="L559" s="104" t="s">
        <v>4131</v>
      </c>
      <c r="M559" s="105" t="s">
        <v>6496</v>
      </c>
      <c r="N559" s="108" t="s">
        <v>6497</v>
      </c>
      <c r="O559" s="109"/>
      <c r="P559" s="109"/>
      <c r="Q559" s="115" t="s">
        <v>4130</v>
      </c>
      <c r="R559" s="120"/>
      <c r="S559" s="117"/>
      <c r="T559" s="118"/>
      <c r="U559" s="117"/>
      <c r="V559" s="102"/>
      <c r="W559" s="102"/>
      <c r="X559" s="102"/>
      <c r="Y559" s="102"/>
      <c r="Z559" s="102"/>
      <c r="AA559" s="102"/>
      <c r="AB559" s="102"/>
      <c r="AC559" s="113"/>
      <c r="AD559" s="113"/>
      <c r="AE559" s="113"/>
    </row>
    <row r="560">
      <c r="A560" s="114">
        <v>7.29001788888E12</v>
      </c>
      <c r="B560" s="104" t="str">
        <f t="shared" si="1"/>
        <v>Schweppes_Schweppes coconut 330 ml can of pineapple</v>
      </c>
      <c r="C560" s="105">
        <v>0.058</v>
      </c>
      <c r="D560" s="105">
        <v>0.145</v>
      </c>
      <c r="E560" s="105">
        <v>0.058</v>
      </c>
      <c r="F560" s="106">
        <f>ROUND('Meta data'!$B$1/E560,0)</f>
        <v>5</v>
      </c>
      <c r="G560" s="107"/>
      <c r="H560" s="105" t="s">
        <v>4107</v>
      </c>
      <c r="I560" s="105" t="str">
        <f>IFERROR(__xludf.DUMMYFUNCTION("GOOGLETRANSLATE(H560,""he"",""en"")"),"Schweppes")</f>
        <v>Schweppes</v>
      </c>
      <c r="J560" s="105" t="s">
        <v>4175</v>
      </c>
      <c r="K560" s="105" t="str">
        <f>IFERROR(__xludf.DUMMYFUNCTION("GOOGLETRANSLATE(J560,""he"",""en"")"),"Schweppes coconut 330 ml can of pineapple")</f>
        <v>Schweppes coconut 330 ml can of pineapple</v>
      </c>
      <c r="L560" s="104" t="s">
        <v>4179</v>
      </c>
      <c r="M560" s="105" t="s">
        <v>6496</v>
      </c>
      <c r="N560" s="108" t="s">
        <v>6497</v>
      </c>
      <c r="O560" s="109"/>
      <c r="P560" s="109"/>
      <c r="Q560" s="115" t="s">
        <v>4178</v>
      </c>
      <c r="R560" s="116"/>
      <c r="S560" s="117"/>
      <c r="T560" s="117"/>
      <c r="U560" s="117"/>
      <c r="V560" s="102"/>
      <c r="W560" s="102"/>
      <c r="X560" s="102"/>
      <c r="Y560" s="102"/>
      <c r="Z560" s="102"/>
      <c r="AA560" s="102"/>
      <c r="AB560" s="102"/>
      <c r="AC560" s="113"/>
      <c r="AD560" s="113"/>
      <c r="AE560" s="113"/>
    </row>
    <row r="561">
      <c r="A561" s="114">
        <v>7.290017888859E12</v>
      </c>
      <c r="B561" s="104" t="str">
        <f t="shared" si="1"/>
        <v>Schweppes_Schweppes Strawberry Kiwi 330 ml can</v>
      </c>
      <c r="C561" s="105">
        <v>0.058</v>
      </c>
      <c r="D561" s="105">
        <v>0.145</v>
      </c>
      <c r="E561" s="105">
        <v>0.058</v>
      </c>
      <c r="F561" s="106">
        <f>ROUND('Meta data'!$B$1/E561,0)</f>
        <v>5</v>
      </c>
      <c r="G561" s="107"/>
      <c r="H561" s="105" t="s">
        <v>4107</v>
      </c>
      <c r="I561" s="105" t="str">
        <f>IFERROR(__xludf.DUMMYFUNCTION("GOOGLETRANSLATE(H561,""he"",""en"")"),"Schweppes")</f>
        <v>Schweppes</v>
      </c>
      <c r="J561" s="105" t="s">
        <v>4250</v>
      </c>
      <c r="K561" s="105" t="str">
        <f>IFERROR(__xludf.DUMMYFUNCTION("GOOGLETRANSLATE(J561,""he"",""en"")"),"Schweppes Strawberry Kiwi 330 ml can")</f>
        <v>Schweppes Strawberry Kiwi 330 ml can</v>
      </c>
      <c r="L561" s="104" t="s">
        <v>4254</v>
      </c>
      <c r="M561" s="105" t="s">
        <v>6496</v>
      </c>
      <c r="N561" s="108" t="s">
        <v>6497</v>
      </c>
      <c r="O561" s="109"/>
      <c r="P561" s="109"/>
      <c r="Q561" s="115" t="s">
        <v>4253</v>
      </c>
      <c r="R561" s="116"/>
      <c r="S561" s="117"/>
      <c r="T561" s="118"/>
      <c r="U561" s="117"/>
      <c r="V561" s="102"/>
      <c r="W561" s="102"/>
      <c r="X561" s="102"/>
      <c r="Y561" s="102"/>
      <c r="Z561" s="102"/>
      <c r="AA561" s="102"/>
      <c r="AB561" s="102"/>
      <c r="AC561" s="113"/>
      <c r="AD561" s="113"/>
      <c r="AE561" s="113"/>
    </row>
    <row r="562">
      <c r="A562" s="114">
        <v>7.29001370247E12</v>
      </c>
      <c r="B562" s="104" t="str">
        <f t="shared" si="1"/>
        <v>Schweppes_Schweppes carbonated pink lemonade fruit 1.5 L.</v>
      </c>
      <c r="C562" s="105">
        <v>0.09</v>
      </c>
      <c r="D562" s="105">
        <v>0.331</v>
      </c>
      <c r="E562" s="105">
        <v>0.09</v>
      </c>
      <c r="F562" s="106">
        <f>ROUND('Meta data'!$B$1/E562,0)</f>
        <v>3</v>
      </c>
      <c r="G562" s="107"/>
      <c r="H562" s="105" t="s">
        <v>4107</v>
      </c>
      <c r="I562" s="105" t="str">
        <f>IFERROR(__xludf.DUMMYFUNCTION("GOOGLETRANSLATE(H562,""he"",""en"")"),"Schweppes")</f>
        <v>Schweppes</v>
      </c>
      <c r="J562" s="105" t="s">
        <v>4169</v>
      </c>
      <c r="K562" s="105" t="str">
        <f>IFERROR(__xludf.DUMMYFUNCTION("GOOGLETRANSLATE(J562,""he"",""en"")"),"Schweppes carbonated pink lemonade fruit 1.5 L.")</f>
        <v>Schweppes carbonated pink lemonade fruit 1.5 L.</v>
      </c>
      <c r="L562" s="104" t="s">
        <v>4173</v>
      </c>
      <c r="M562" s="105" t="s">
        <v>6496</v>
      </c>
      <c r="N562" s="108" t="s">
        <v>6498</v>
      </c>
      <c r="O562" s="109"/>
      <c r="P562" s="109"/>
      <c r="Q562" s="115" t="s">
        <v>4172</v>
      </c>
      <c r="R562" s="116"/>
      <c r="S562" s="128"/>
      <c r="T562" s="117"/>
      <c r="U562" s="118"/>
      <c r="V562" s="117"/>
      <c r="W562" s="102"/>
      <c r="X562" s="102"/>
      <c r="Y562" s="102"/>
      <c r="Z562" s="102"/>
      <c r="AA562" s="102"/>
      <c r="AB562" s="102"/>
      <c r="AC562" s="113"/>
      <c r="AD562" s="113"/>
      <c r="AE562" s="113"/>
    </row>
    <row r="563">
      <c r="A563" s="114">
        <v>7.290013702463E12</v>
      </c>
      <c r="B563" s="104" t="str">
        <f t="shared" si="1"/>
        <v>Schweppes_Schweppes carbonated fruit Limoniid 1.5 liters</v>
      </c>
      <c r="C563" s="105">
        <v>0.09</v>
      </c>
      <c r="D563" s="105">
        <v>0.331</v>
      </c>
      <c r="E563" s="105">
        <v>0.09</v>
      </c>
      <c r="F563" s="106">
        <f>ROUND('Meta data'!$B$1/E563,0)</f>
        <v>3</v>
      </c>
      <c r="G563" s="107"/>
      <c r="H563" s="105" t="s">
        <v>4107</v>
      </c>
      <c r="I563" s="105" t="str">
        <f>IFERROR(__xludf.DUMMYFUNCTION("GOOGLETRANSLATE(H563,""he"",""en"")"),"Schweppes")</f>
        <v>Schweppes</v>
      </c>
      <c r="J563" s="105" t="s">
        <v>4147</v>
      </c>
      <c r="K563" s="105" t="str">
        <f>IFERROR(__xludf.DUMMYFUNCTION("GOOGLETRANSLATE(J563,""he"",""en"")"),"Schweppes carbonated fruit Limoniid 1.5 liters")</f>
        <v>Schweppes carbonated fruit Limoniid 1.5 liters</v>
      </c>
      <c r="L563" s="104" t="s">
        <v>4151</v>
      </c>
      <c r="M563" s="105" t="s">
        <v>6496</v>
      </c>
      <c r="N563" s="108" t="s">
        <v>6498</v>
      </c>
      <c r="O563" s="109"/>
      <c r="P563" s="109"/>
      <c r="Q563" s="115" t="s">
        <v>4150</v>
      </c>
      <c r="R563" s="116"/>
      <c r="S563" s="124"/>
      <c r="T563" s="117"/>
      <c r="U563" s="118"/>
      <c r="V563" s="117"/>
      <c r="W563" s="102"/>
      <c r="X563" s="102"/>
      <c r="Y563" s="102"/>
      <c r="Z563" s="102"/>
      <c r="AA563" s="102"/>
      <c r="AB563" s="102"/>
      <c r="AC563" s="113"/>
      <c r="AD563" s="113"/>
      <c r="AE563" s="113"/>
    </row>
    <row r="564">
      <c r="A564" s="114">
        <v>7.290012404146E12</v>
      </c>
      <c r="B564" s="104" t="str">
        <f t="shared" si="1"/>
        <v>Schweppes_Schweppes carbonated apple fruit 1.5 liters</v>
      </c>
      <c r="C564" s="105">
        <v>0.09</v>
      </c>
      <c r="D564" s="105">
        <v>0.331</v>
      </c>
      <c r="E564" s="105">
        <v>0.09</v>
      </c>
      <c r="F564" s="106">
        <f>ROUND('Meta data'!$B$1/E564,0)</f>
        <v>3</v>
      </c>
      <c r="G564" s="107"/>
      <c r="H564" s="105" t="s">
        <v>4107</v>
      </c>
      <c r="I564" s="105" t="str">
        <f>IFERROR(__xludf.DUMMYFUNCTION("GOOGLETRANSLATE(H564,""he"",""en"")"),"Schweppes")</f>
        <v>Schweppes</v>
      </c>
      <c r="J564" s="105" t="s">
        <v>4121</v>
      </c>
      <c r="K564" s="105" t="str">
        <f>IFERROR(__xludf.DUMMYFUNCTION("GOOGLETRANSLATE(J564,""he"",""en"")"),"Schweppes carbonated apple fruit 1.5 liters")</f>
        <v>Schweppes carbonated apple fruit 1.5 liters</v>
      </c>
      <c r="L564" s="104" t="s">
        <v>4125</v>
      </c>
      <c r="M564" s="105" t="s">
        <v>6496</v>
      </c>
      <c r="N564" s="108" t="s">
        <v>6498</v>
      </c>
      <c r="O564" s="109"/>
      <c r="P564" s="109"/>
      <c r="Q564" s="115" t="s">
        <v>4124</v>
      </c>
      <c r="R564" s="138"/>
      <c r="S564" s="118"/>
      <c r="T564" s="117"/>
      <c r="U564" s="102"/>
      <c r="V564" s="102"/>
      <c r="W564" s="102"/>
      <c r="X564" s="102"/>
      <c r="Y564" s="102"/>
      <c r="Z564" s="102"/>
      <c r="AA564" s="102"/>
      <c r="AB564" s="102"/>
      <c r="AC564" s="113"/>
      <c r="AD564" s="113"/>
      <c r="AE564" s="113"/>
    </row>
    <row r="565">
      <c r="A565" s="114">
        <v>7.290010237579E12</v>
      </c>
      <c r="B565" s="104" t="str">
        <f t="shared" si="1"/>
        <v>Seven-Up_Seven up a bottle of 500 ml</v>
      </c>
      <c r="C565" s="105">
        <v>0.065</v>
      </c>
      <c r="D565" s="105">
        <v>0.24</v>
      </c>
      <c r="E565" s="105">
        <v>0.065</v>
      </c>
      <c r="F565" s="106">
        <f>ROUND('Meta data'!$B$1/E565,0)</f>
        <v>5</v>
      </c>
      <c r="G565" s="107"/>
      <c r="H565" s="105" t="s">
        <v>4256</v>
      </c>
      <c r="I565" s="105" t="str">
        <f>IFERROR(__xludf.DUMMYFUNCTION("GOOGLETRANSLATE(H565,""he"",""en"")"),"Seven Up")</f>
        <v>Seven Up</v>
      </c>
      <c r="J565" s="105" t="s">
        <v>4267</v>
      </c>
      <c r="K565" s="105" t="str">
        <f>IFERROR(__xludf.DUMMYFUNCTION("GOOGLETRANSLATE(J565,""he"",""en"")"),"Seven up a bottle of 500 ml")</f>
        <v>Seven up a bottle of 500 ml</v>
      </c>
      <c r="L565" s="104" t="s">
        <v>4272</v>
      </c>
      <c r="M565" s="105" t="s">
        <v>6587</v>
      </c>
      <c r="N565" s="108" t="s">
        <v>6588</v>
      </c>
      <c r="O565" s="109"/>
      <c r="P565" s="109"/>
      <c r="Q565" s="115" t="s">
        <v>4271</v>
      </c>
      <c r="R565" s="116"/>
      <c r="S565" s="124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13"/>
      <c r="AD565" s="113"/>
      <c r="AE565" s="113"/>
    </row>
    <row r="566">
      <c r="A566" s="114">
        <v>433714.0</v>
      </c>
      <c r="B566" s="104" t="str">
        <f t="shared" si="1"/>
        <v>Seven-Up_Saban up to 1.5 liters</v>
      </c>
      <c r="C566" s="105">
        <v>0.08</v>
      </c>
      <c r="D566" s="105">
        <v>0.33</v>
      </c>
      <c r="E566" s="105">
        <v>0.08</v>
      </c>
      <c r="F566" s="106">
        <f>ROUND('Meta data'!$B$1/E566,0)</f>
        <v>4</v>
      </c>
      <c r="G566" s="107"/>
      <c r="H566" s="105" t="s">
        <v>4256</v>
      </c>
      <c r="I566" s="105" t="str">
        <f>IFERROR(__xludf.DUMMYFUNCTION("GOOGLETRANSLATE(H566,""he"",""en"")"),"Seven Up")</f>
        <v>Seven Up</v>
      </c>
      <c r="J566" s="105" t="s">
        <v>4258</v>
      </c>
      <c r="K566" s="105" t="str">
        <f>IFERROR(__xludf.DUMMYFUNCTION("GOOGLETRANSLATE(J566,""he"",""en"")"),"Saban up to 1.5 liters")</f>
        <v>Saban up to 1.5 liters</v>
      </c>
      <c r="L566" s="104" t="s">
        <v>4264</v>
      </c>
      <c r="M566" s="105" t="s">
        <v>6587</v>
      </c>
      <c r="N566" s="108" t="s">
        <v>6589</v>
      </c>
      <c r="O566" s="109"/>
      <c r="P566" s="109"/>
      <c r="Q566" s="115" t="s">
        <v>4263</v>
      </c>
      <c r="R566" s="116"/>
      <c r="S566" s="117"/>
      <c r="T566" s="118"/>
      <c r="U566" s="117"/>
      <c r="V566" s="102"/>
      <c r="W566" s="102"/>
      <c r="X566" s="102"/>
      <c r="Y566" s="102"/>
      <c r="Z566" s="102"/>
      <c r="AA566" s="102"/>
      <c r="AB566" s="102"/>
      <c r="AC566" s="113"/>
      <c r="AD566" s="113"/>
      <c r="AE566" s="113"/>
    </row>
    <row r="567">
      <c r="A567" s="114">
        <v>7.290000110851E12</v>
      </c>
      <c r="B567" s="104" t="str">
        <f t="shared" si="1"/>
        <v>Kifli_Kifli onion 70 g</v>
      </c>
      <c r="C567" s="105">
        <v>0.14</v>
      </c>
      <c r="D567" s="105">
        <v>0.23</v>
      </c>
      <c r="E567" s="105">
        <v>0.04</v>
      </c>
      <c r="F567" s="106">
        <f>ROUND('Meta data'!$B$1/E567,0)</f>
        <v>8</v>
      </c>
      <c r="G567" s="107"/>
      <c r="H567" s="105" t="s">
        <v>2047</v>
      </c>
      <c r="I567" s="119" t="s">
        <v>6590</v>
      </c>
      <c r="J567" s="105" t="s">
        <v>2055</v>
      </c>
      <c r="K567" s="119" t="s">
        <v>6591</v>
      </c>
      <c r="L567" s="104" t="s">
        <v>2059</v>
      </c>
      <c r="M567" s="105" t="s">
        <v>6309</v>
      </c>
      <c r="N567" s="108" t="s">
        <v>6592</v>
      </c>
      <c r="O567" s="109"/>
      <c r="P567" s="109"/>
      <c r="Q567" s="111" t="s">
        <v>2058</v>
      </c>
      <c r="R567" s="111"/>
      <c r="S567" s="112"/>
      <c r="T567" s="118"/>
      <c r="U567" s="112"/>
      <c r="V567" s="102"/>
      <c r="W567" s="102"/>
      <c r="X567" s="102"/>
      <c r="Y567" s="102"/>
      <c r="Z567" s="102"/>
      <c r="AA567" s="102"/>
      <c r="AB567" s="102"/>
      <c r="AC567" s="113"/>
      <c r="AD567" s="113"/>
      <c r="AE567" s="113"/>
    </row>
    <row r="568">
      <c r="A568" s="114">
        <v>7.290000110844E12</v>
      </c>
      <c r="B568" s="104" t="str">
        <f t="shared" si="1"/>
        <v>Kifli_Kifli Grill 70 g</v>
      </c>
      <c r="C568" s="105">
        <v>0.14</v>
      </c>
      <c r="D568" s="105">
        <v>0.23</v>
      </c>
      <c r="E568" s="105">
        <v>0.04</v>
      </c>
      <c r="F568" s="106">
        <f>ROUND('Meta data'!$B$1/E568,0)</f>
        <v>8</v>
      </c>
      <c r="G568" s="107"/>
      <c r="H568" s="105" t="s">
        <v>2047</v>
      </c>
      <c r="I568" s="119" t="s">
        <v>6590</v>
      </c>
      <c r="J568" s="105" t="s">
        <v>2049</v>
      </c>
      <c r="K568" s="119" t="s">
        <v>6593</v>
      </c>
      <c r="L568" s="104" t="s">
        <v>2053</v>
      </c>
      <c r="M568" s="105" t="s">
        <v>6309</v>
      </c>
      <c r="N568" s="108" t="s">
        <v>6592</v>
      </c>
      <c r="O568" s="109"/>
      <c r="P568" s="109"/>
      <c r="Q568" s="111" t="s">
        <v>2052</v>
      </c>
      <c r="R568" s="111"/>
      <c r="S568" s="112"/>
      <c r="T568" s="118"/>
      <c r="U568" s="112"/>
      <c r="V568" s="102"/>
      <c r="W568" s="102"/>
      <c r="X568" s="102"/>
      <c r="Y568" s="102"/>
      <c r="Z568" s="102"/>
      <c r="AA568" s="102"/>
      <c r="AB568" s="102"/>
      <c r="AC568" s="113"/>
      <c r="AD568" s="113"/>
      <c r="AE568" s="113"/>
    </row>
    <row r="569">
      <c r="A569" s="114">
        <v>2824640.0</v>
      </c>
      <c r="B569" s="104" t="str">
        <f t="shared" si="1"/>
        <v>ski_Ski white cheese 250g 5%</v>
      </c>
      <c r="C569" s="105">
        <v>0.095</v>
      </c>
      <c r="D569" s="105">
        <v>0.07</v>
      </c>
      <c r="E569" s="105">
        <v>0.09</v>
      </c>
      <c r="F569" s="106">
        <f>ROUND('Meta data'!$B$1/E569,0)</f>
        <v>3</v>
      </c>
      <c r="G569" s="107"/>
      <c r="H569" s="105" t="s">
        <v>4274</v>
      </c>
      <c r="I569" s="105" t="str">
        <f>IFERROR(__xludf.DUMMYFUNCTION("GOOGLETRANSLATE(H569,""he"",""en"")"),"ski")</f>
        <v>ski</v>
      </c>
      <c r="J569" s="105" t="s">
        <v>4276</v>
      </c>
      <c r="K569" s="105" t="str">
        <f>IFERROR(__xludf.DUMMYFUNCTION("GOOGLETRANSLATE(J569,""he"",""en"")"),"Ski white cheese 250g 5%")</f>
        <v>Ski white cheese 250g 5%</v>
      </c>
      <c r="L569" s="104" t="s">
        <v>4282</v>
      </c>
      <c r="M569" s="105" t="s">
        <v>6594</v>
      </c>
      <c r="N569" s="108" t="s">
        <v>6595</v>
      </c>
      <c r="O569" s="109"/>
      <c r="P569" s="109"/>
      <c r="Q569" s="115" t="s">
        <v>4281</v>
      </c>
      <c r="R569" s="116"/>
      <c r="S569" s="118"/>
      <c r="T569" s="117"/>
      <c r="U569" s="102"/>
      <c r="V569" s="102"/>
      <c r="W569" s="102"/>
      <c r="X569" s="102"/>
      <c r="Y569" s="102"/>
      <c r="Z569" s="102"/>
      <c r="AA569" s="102"/>
      <c r="AB569" s="102"/>
      <c r="AC569" s="113"/>
      <c r="AD569" s="113"/>
      <c r="AE569" s="113"/>
    </row>
    <row r="570">
      <c r="A570" s="114">
        <v>5.000159376792E12</v>
      </c>
      <c r="B570" s="104" t="str">
        <f t="shared" si="1"/>
        <v>Skittles_Sour Skittles candy 38 g</v>
      </c>
      <c r="C570" s="105">
        <v>0.07</v>
      </c>
      <c r="D570" s="105">
        <v>0.122</v>
      </c>
      <c r="E570" s="105">
        <v>0.005</v>
      </c>
      <c r="F570" s="106">
        <f>ROUND('Meta data'!$B$1/E570,0)</f>
        <v>60</v>
      </c>
      <c r="G570" s="107"/>
      <c r="H570" s="105" t="s">
        <v>4285</v>
      </c>
      <c r="I570" s="105" t="str">
        <f>IFERROR(__xludf.DUMMYFUNCTION("GOOGLETRANSLATE(H570,""he"",""en"")"),"Skittles")</f>
        <v>Skittles</v>
      </c>
      <c r="J570" s="105" t="s">
        <v>4293</v>
      </c>
      <c r="K570" s="105" t="str">
        <f>IFERROR(__xludf.DUMMYFUNCTION("GOOGLETRANSLATE(J570,""he"",""en"")"),"Sour Skittles candy 38 g")</f>
        <v>Sour Skittles candy 38 g</v>
      </c>
      <c r="L570" s="104" t="s">
        <v>4297</v>
      </c>
      <c r="M570" s="105" t="s">
        <v>6485</v>
      </c>
      <c r="N570" s="108" t="s">
        <v>6486</v>
      </c>
      <c r="O570" s="109"/>
      <c r="P570" s="109"/>
      <c r="Q570" s="115" t="s">
        <v>4296</v>
      </c>
      <c r="R570" s="116"/>
      <c r="S570" s="118"/>
      <c r="T570" s="117"/>
      <c r="U570" s="117"/>
      <c r="V570" s="102"/>
      <c r="W570" s="102"/>
      <c r="X570" s="102"/>
      <c r="Y570" s="102"/>
      <c r="Z570" s="102"/>
      <c r="AA570" s="102"/>
      <c r="AB570" s="102"/>
      <c r="AC570" s="113"/>
      <c r="AD570" s="113"/>
      <c r="AE570" s="113"/>
    </row>
    <row r="571">
      <c r="A571" s="114">
        <v>5.000159376655E12</v>
      </c>
      <c r="B571" s="104" t="str">
        <f t="shared" si="1"/>
        <v>Skittles_Skittles candy fruit 38 grams</v>
      </c>
      <c r="C571" s="105">
        <v>0.07</v>
      </c>
      <c r="D571" s="105">
        <v>0.122</v>
      </c>
      <c r="E571" s="105">
        <v>0.005</v>
      </c>
      <c r="F571" s="106">
        <f>ROUND('Meta data'!$B$1/E571,0)</f>
        <v>60</v>
      </c>
      <c r="G571" s="107"/>
      <c r="H571" s="105" t="s">
        <v>4285</v>
      </c>
      <c r="I571" s="105" t="str">
        <f>IFERROR(__xludf.DUMMYFUNCTION("GOOGLETRANSLATE(H571,""he"",""en"")"),"Skittles")</f>
        <v>Skittles</v>
      </c>
      <c r="J571" s="105" t="s">
        <v>4287</v>
      </c>
      <c r="K571" s="105" t="str">
        <f>IFERROR(__xludf.DUMMYFUNCTION("GOOGLETRANSLATE(J571,""he"",""en"")"),"Skittles candy fruit 38 grams")</f>
        <v>Skittles candy fruit 38 grams</v>
      </c>
      <c r="L571" s="104" t="s">
        <v>4291</v>
      </c>
      <c r="M571" s="105" t="s">
        <v>6485</v>
      </c>
      <c r="N571" s="108" t="s">
        <v>6486</v>
      </c>
      <c r="O571" s="109"/>
      <c r="P571" s="109"/>
      <c r="Q571" s="115" t="s">
        <v>4290</v>
      </c>
      <c r="R571" s="116"/>
      <c r="S571" s="117"/>
      <c r="T571" s="118"/>
      <c r="U571" s="117"/>
      <c r="V571" s="117"/>
      <c r="W571" s="102"/>
      <c r="X571" s="102"/>
      <c r="Y571" s="102"/>
      <c r="Z571" s="102"/>
      <c r="AA571" s="102"/>
      <c r="AB571" s="102"/>
      <c r="AC571" s="113"/>
      <c r="AD571" s="113"/>
      <c r="AE571" s="113"/>
    </row>
    <row r="572">
      <c r="A572" s="114">
        <v>5.410316983693E12</v>
      </c>
      <c r="B572" s="104" t="str">
        <f t="shared" si="1"/>
        <v>Smirnoff_Vodka Smirnoff Ice</v>
      </c>
      <c r="C572" s="105">
        <v>0.058</v>
      </c>
      <c r="D572" s="105">
        <v>0.212</v>
      </c>
      <c r="E572" s="105">
        <v>0.058</v>
      </c>
      <c r="F572" s="106">
        <f>ROUND('Meta data'!$B$1/E572,0)</f>
        <v>5</v>
      </c>
      <c r="G572" s="107"/>
      <c r="H572" s="105" t="s">
        <v>4312</v>
      </c>
      <c r="I572" s="105" t="str">
        <f>IFERROR(__xludf.DUMMYFUNCTION("GOOGLETRANSLATE(H572,""he"",""en"")"),"Smirnoff")</f>
        <v>Smirnoff</v>
      </c>
      <c r="J572" s="105" t="s">
        <v>4314</v>
      </c>
      <c r="K572" s="105" t="str">
        <f>IFERROR(__xludf.DUMMYFUNCTION("GOOGLETRANSLATE(J572,""he"",""en"")"),"Vodka Smirnoff Ice")</f>
        <v>Vodka Smirnoff Ice</v>
      </c>
      <c r="L572" s="104" t="s">
        <v>4318</v>
      </c>
      <c r="M572" s="105" t="s">
        <v>6335</v>
      </c>
      <c r="N572" s="108" t="s">
        <v>6336</v>
      </c>
      <c r="O572" s="109"/>
      <c r="P572" s="109"/>
      <c r="Q572" s="111" t="s">
        <v>4317</v>
      </c>
      <c r="R572" s="115"/>
      <c r="S572" s="11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13"/>
      <c r="AD572" s="113"/>
      <c r="AE572" s="113"/>
    </row>
    <row r="573">
      <c r="A573" s="114">
        <v>5.000159473866E12</v>
      </c>
      <c r="B573" s="104" t="str">
        <f t="shared" si="1"/>
        <v>Snickers_Snickers chocolate bag 170 g</v>
      </c>
      <c r="C573" s="105">
        <v>0.2</v>
      </c>
      <c r="D573" s="105">
        <v>0.18</v>
      </c>
      <c r="E573" s="105">
        <v>0.02</v>
      </c>
      <c r="F573" s="106">
        <f>ROUND('Meta data'!$B$1/E573,0)</f>
        <v>15</v>
      </c>
      <c r="G573" s="107"/>
      <c r="H573" s="105" t="s">
        <v>4321</v>
      </c>
      <c r="I573" s="105" t="str">
        <f>IFERROR(__xludf.DUMMYFUNCTION("GOOGLETRANSLATE(H573,""he"",""en"")"),"Snickers")</f>
        <v>Snickers</v>
      </c>
      <c r="J573" s="105" t="s">
        <v>4331</v>
      </c>
      <c r="K573" s="105" t="str">
        <f>IFERROR(__xludf.DUMMYFUNCTION("GOOGLETRANSLATE(J573,""he"",""en"")"),"Snickers chocolate bag 170 g")</f>
        <v>Snickers chocolate bag 170 g</v>
      </c>
      <c r="L573" s="104" t="s">
        <v>4335</v>
      </c>
      <c r="M573" s="105" t="s">
        <v>6302</v>
      </c>
      <c r="N573" s="108" t="s">
        <v>6520</v>
      </c>
      <c r="O573" s="109"/>
      <c r="P573" s="109"/>
      <c r="Q573" s="111" t="s">
        <v>4334</v>
      </c>
      <c r="R573" s="111"/>
      <c r="S573" s="112"/>
      <c r="T573" s="112"/>
      <c r="U573" s="102"/>
      <c r="V573" s="102"/>
      <c r="W573" s="102"/>
      <c r="X573" s="102"/>
      <c r="Y573" s="102"/>
      <c r="Z573" s="102"/>
      <c r="AA573" s="102"/>
      <c r="AB573" s="102"/>
      <c r="AC573" s="113"/>
      <c r="AD573" s="113"/>
      <c r="AE573" s="113"/>
    </row>
    <row r="574">
      <c r="A574" s="114">
        <v>5.000159461122E12</v>
      </c>
      <c r="B574" s="104" t="str">
        <f t="shared" si="1"/>
        <v>Snickers_Snickers chocolate 50g</v>
      </c>
      <c r="C574" s="105">
        <v>0.118</v>
      </c>
      <c r="D574" s="105">
        <v>0.03</v>
      </c>
      <c r="E574" s="105">
        <v>0.02</v>
      </c>
      <c r="F574" s="106">
        <f>ROUND('Meta data'!$B$1/E574,0)</f>
        <v>15</v>
      </c>
      <c r="G574" s="107"/>
      <c r="H574" s="105" t="s">
        <v>4321</v>
      </c>
      <c r="I574" s="105" t="str">
        <f>IFERROR(__xludf.DUMMYFUNCTION("GOOGLETRANSLATE(H574,""he"",""en"")"),"Snickers")</f>
        <v>Snickers</v>
      </c>
      <c r="J574" s="105" t="s">
        <v>4323</v>
      </c>
      <c r="K574" s="105" t="str">
        <f>IFERROR(__xludf.DUMMYFUNCTION("GOOGLETRANSLATE(J574,""he"",""en"")"),"Snickers chocolate 50g")</f>
        <v>Snickers chocolate 50g</v>
      </c>
      <c r="L574" s="104" t="s">
        <v>4327</v>
      </c>
      <c r="M574" s="105" t="s">
        <v>6302</v>
      </c>
      <c r="N574" s="108" t="s">
        <v>6303</v>
      </c>
      <c r="O574" s="109"/>
      <c r="P574" s="109"/>
      <c r="Q574" s="111" t="s">
        <v>4326</v>
      </c>
      <c r="R574" s="111"/>
      <c r="S574" s="112"/>
      <c r="T574" s="112"/>
      <c r="U574" s="118"/>
      <c r="V574" s="102"/>
      <c r="W574" s="102"/>
      <c r="X574" s="102"/>
      <c r="Y574" s="102"/>
      <c r="Z574" s="102"/>
      <c r="AA574" s="102"/>
      <c r="AB574" s="102"/>
      <c r="AC574" s="113"/>
      <c r="AD574" s="113"/>
      <c r="AE574" s="113"/>
    </row>
    <row r="575">
      <c r="A575" s="114">
        <v>7.7975099919E10</v>
      </c>
      <c r="B575" s="104" t="str">
        <f t="shared" si="1"/>
        <v>Snyders_Snyders pretzels and honey mustard onion 56 grams</v>
      </c>
      <c r="C575" s="105">
        <v>0.09999999</v>
      </c>
      <c r="D575" s="105">
        <v>0.155</v>
      </c>
      <c r="E575" s="105">
        <v>0.02</v>
      </c>
      <c r="F575" s="106">
        <f>ROUND('Meta data'!$B$1/E575,0)</f>
        <v>15</v>
      </c>
      <c r="G575" s="107"/>
      <c r="H575" s="105" t="s">
        <v>4338</v>
      </c>
      <c r="I575" s="119" t="s">
        <v>4339</v>
      </c>
      <c r="J575" s="105" t="s">
        <v>4355</v>
      </c>
      <c r="K575" s="105" t="str">
        <f>IFERROR(__xludf.DUMMYFUNCTION("GOOGLETRANSLATE(J575,""he"",""en"")"),"Snyders pretzels and honey mustard onion 56 grams")</f>
        <v>Snyders pretzels and honey mustard onion 56 grams</v>
      </c>
      <c r="L575" s="104" t="s">
        <v>4357</v>
      </c>
      <c r="M575" s="105" t="s">
        <v>6408</v>
      </c>
      <c r="N575" s="108" t="s">
        <v>6566</v>
      </c>
      <c r="O575" s="109"/>
      <c r="P575" s="109"/>
      <c r="Q575" s="115" t="s">
        <v>4358</v>
      </c>
      <c r="R575" s="115"/>
      <c r="S575" s="117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13"/>
      <c r="AD575" s="113"/>
      <c r="AE575" s="113"/>
    </row>
    <row r="576">
      <c r="A576" s="114">
        <v>7.7975099933E10</v>
      </c>
      <c r="B576" s="104" t="str">
        <f t="shared" si="1"/>
        <v>Snyders_Sadr Snyders pretzels 56 g</v>
      </c>
      <c r="C576" s="105">
        <v>0.09999999</v>
      </c>
      <c r="D576" s="105">
        <v>0.155</v>
      </c>
      <c r="E576" s="105">
        <v>0.02</v>
      </c>
      <c r="F576" s="106">
        <f>ROUND('Meta data'!$B$1/E576,0)</f>
        <v>15</v>
      </c>
      <c r="G576" s="107"/>
      <c r="H576" s="105" t="s">
        <v>4338</v>
      </c>
      <c r="I576" s="119" t="s">
        <v>4339</v>
      </c>
      <c r="J576" s="105" t="s">
        <v>4340</v>
      </c>
      <c r="K576" s="105" t="str">
        <f>IFERROR(__xludf.DUMMYFUNCTION("GOOGLETRANSLATE(J576,""he"",""en"")"),"Sadr Snyders pretzels 56 g")</f>
        <v>Sadr Snyders pretzels 56 g</v>
      </c>
      <c r="L576" s="104" t="s">
        <v>4342</v>
      </c>
      <c r="M576" s="105" t="s">
        <v>6408</v>
      </c>
      <c r="N576" s="108" t="s">
        <v>6566</v>
      </c>
      <c r="O576" s="109"/>
      <c r="P576" s="109"/>
      <c r="Q576" s="115" t="s">
        <v>4343</v>
      </c>
      <c r="R576" s="116"/>
      <c r="S576" s="117"/>
      <c r="T576" s="118"/>
      <c r="U576" s="117"/>
      <c r="V576" s="102"/>
      <c r="W576" s="102"/>
      <c r="X576" s="102"/>
      <c r="Y576" s="102"/>
      <c r="Z576" s="102"/>
      <c r="AA576" s="102"/>
      <c r="AB576" s="102"/>
      <c r="AC576" s="113"/>
      <c r="AD576" s="113"/>
      <c r="AE576" s="113"/>
    </row>
    <row r="577">
      <c r="A577" s="114">
        <v>7.7975088227E10</v>
      </c>
      <c r="B577" s="104" t="str">
        <f t="shared" si="1"/>
        <v>Snyders_Snyders pretzels Honey Mustard and Onion 340g</v>
      </c>
      <c r="C577" s="105">
        <v>0.14</v>
      </c>
      <c r="D577" s="105">
        <v>0.26</v>
      </c>
      <c r="E577" s="105">
        <v>0.035</v>
      </c>
      <c r="F577" s="106">
        <f>ROUND('Meta data'!$B$1/E577,0)</f>
        <v>9</v>
      </c>
      <c r="G577" s="107"/>
      <c r="H577" s="105" t="s">
        <v>4338</v>
      </c>
      <c r="I577" s="119" t="s">
        <v>4339</v>
      </c>
      <c r="J577" s="105" t="s">
        <v>4365</v>
      </c>
      <c r="K577" s="105" t="str">
        <f>IFERROR(__xludf.DUMMYFUNCTION("GOOGLETRANSLATE(J577,""he"",""en"")"),"Snyders pretzels Honey Mustard and Onion 340g")</f>
        <v>Snyders pretzels Honey Mustard and Onion 340g</v>
      </c>
      <c r="L577" s="104" t="s">
        <v>4367</v>
      </c>
      <c r="M577" s="105" t="s">
        <v>6408</v>
      </c>
      <c r="N577" s="108" t="s">
        <v>6567</v>
      </c>
      <c r="O577" s="109"/>
      <c r="P577" s="109"/>
      <c r="Q577" s="115" t="s">
        <v>4368</v>
      </c>
      <c r="R577" s="116"/>
      <c r="S577" s="117"/>
      <c r="T577" s="118"/>
      <c r="U577" s="117"/>
      <c r="V577" s="102"/>
      <c r="W577" s="102"/>
      <c r="X577" s="102"/>
      <c r="Y577" s="102"/>
      <c r="Z577" s="102"/>
      <c r="AA577" s="102"/>
      <c r="AB577" s="102"/>
      <c r="AC577" s="113"/>
      <c r="AD577" s="113"/>
      <c r="AE577" s="113"/>
    </row>
    <row r="578">
      <c r="A578" s="114">
        <v>7.7975094761E10</v>
      </c>
      <c r="B578" s="104" t="str">
        <f t="shared" si="1"/>
        <v>Snyders_Snyders taste Sadr 340g</v>
      </c>
      <c r="C578" s="105">
        <v>0.15</v>
      </c>
      <c r="D578" s="105">
        <v>0.255</v>
      </c>
      <c r="E578" s="105">
        <v>0.07</v>
      </c>
      <c r="F578" s="106">
        <f>ROUND('Meta data'!$B$1/E578,0)</f>
        <v>4</v>
      </c>
      <c r="G578" s="107"/>
      <c r="H578" s="105" t="s">
        <v>4338</v>
      </c>
      <c r="I578" s="119" t="s">
        <v>4339</v>
      </c>
      <c r="J578" s="105" t="s">
        <v>4375</v>
      </c>
      <c r="K578" s="105" t="str">
        <f>IFERROR(__xludf.DUMMYFUNCTION("GOOGLETRANSLATE(J578,""he"",""en"")"),"Snyders taste Sadr 340g")</f>
        <v>Snyders taste Sadr 340g</v>
      </c>
      <c r="L578" s="104" t="s">
        <v>4379</v>
      </c>
      <c r="M578" s="105" t="s">
        <v>6408</v>
      </c>
      <c r="N578" s="108" t="s">
        <v>6567</v>
      </c>
      <c r="O578" s="109"/>
      <c r="P578" s="109"/>
      <c r="Q578" s="115" t="s">
        <v>4378</v>
      </c>
      <c r="R578" s="116"/>
      <c r="S578" s="118"/>
      <c r="T578" s="117"/>
      <c r="U578" s="102"/>
      <c r="V578" s="102"/>
      <c r="W578" s="102"/>
      <c r="X578" s="102"/>
      <c r="Y578" s="102"/>
      <c r="Z578" s="102"/>
      <c r="AA578" s="102"/>
      <c r="AB578" s="102"/>
      <c r="AC578" s="113"/>
      <c r="AD578" s="113"/>
      <c r="AE578" s="113"/>
    </row>
    <row r="579">
      <c r="A579" s="114">
        <v>7.7975094006E10</v>
      </c>
      <c r="B579" s="104" t="str">
        <f t="shared" si="1"/>
        <v>Snyders_Snyders flavored pretzel pieces parmesan and garlic 283</v>
      </c>
      <c r="C579" s="105">
        <v>0.15</v>
      </c>
      <c r="D579" s="105">
        <v>0.26</v>
      </c>
      <c r="E579" s="105">
        <v>0.035</v>
      </c>
      <c r="F579" s="106">
        <f>ROUND('Meta data'!$B$1/E579,0)</f>
        <v>9</v>
      </c>
      <c r="G579" s="107"/>
      <c r="H579" s="105" t="s">
        <v>4338</v>
      </c>
      <c r="I579" s="119" t="s">
        <v>4339</v>
      </c>
      <c r="J579" s="105" t="s">
        <v>4345</v>
      </c>
      <c r="K579" s="105" t="str">
        <f>IFERROR(__xludf.DUMMYFUNCTION("GOOGLETRANSLATE(J579,""he"",""en"")"),"Snyders flavored pretzel pieces parmesan and garlic 283")</f>
        <v>Snyders flavored pretzel pieces parmesan and garlic 283</v>
      </c>
      <c r="L579" s="104" t="s">
        <v>4347</v>
      </c>
      <c r="M579" s="105" t="s">
        <v>6408</v>
      </c>
      <c r="N579" s="108" t="s">
        <v>6567</v>
      </c>
      <c r="O579" s="109"/>
      <c r="P579" s="109"/>
      <c r="Q579" s="115" t="s">
        <v>4348</v>
      </c>
      <c r="R579" s="116"/>
      <c r="S579" s="121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13"/>
      <c r="AD579" s="113"/>
      <c r="AE579" s="113"/>
    </row>
    <row r="580">
      <c r="A580" s="114">
        <v>7.7975094624E10</v>
      </c>
      <c r="B580" s="104" t="str">
        <f t="shared" si="1"/>
        <v>Snyders_Snyders pretzels fragments peanut butter 283 grams</v>
      </c>
      <c r="C580" s="105">
        <v>0.14</v>
      </c>
      <c r="D580" s="105">
        <v>0.255</v>
      </c>
      <c r="E580" s="105">
        <v>0.07</v>
      </c>
      <c r="F580" s="106">
        <f>ROUND('Meta data'!$B$1/E580,0)</f>
        <v>4</v>
      </c>
      <c r="G580" s="107"/>
      <c r="H580" s="105" t="s">
        <v>4338</v>
      </c>
      <c r="I580" s="119" t="s">
        <v>4339</v>
      </c>
      <c r="J580" s="105" t="s">
        <v>4360</v>
      </c>
      <c r="K580" s="105" t="str">
        <f>IFERROR(__xludf.DUMMYFUNCTION("GOOGLETRANSLATE(J580,""he"",""en"")"),"Snyders pretzels fragments peanut butter 283 grams")</f>
        <v>Snyders pretzels fragments peanut butter 283 grams</v>
      </c>
      <c r="L580" s="104" t="s">
        <v>4362</v>
      </c>
      <c r="M580" s="105" t="s">
        <v>6408</v>
      </c>
      <c r="N580" s="108" t="s">
        <v>6567</v>
      </c>
      <c r="O580" s="109"/>
      <c r="P580" s="109"/>
      <c r="Q580" s="115" t="s">
        <v>4363</v>
      </c>
      <c r="R580" s="115"/>
      <c r="S580" s="117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13"/>
      <c r="AD580" s="113"/>
      <c r="AE580" s="113"/>
    </row>
    <row r="581">
      <c r="A581" s="114">
        <v>7.7975094631E10</v>
      </c>
      <c r="B581" s="104" t="str">
        <f t="shared" si="1"/>
        <v>Snyders_Snyders pretzels and cheese sandwich 226 grams Tz"dr</v>
      </c>
      <c r="C581" s="105">
        <v>0.14</v>
      </c>
      <c r="D581" s="105">
        <v>0.255</v>
      </c>
      <c r="E581" s="105">
        <v>0.07</v>
      </c>
      <c r="F581" s="106">
        <f>ROUND('Meta data'!$B$1/E581,0)</f>
        <v>4</v>
      </c>
      <c r="G581" s="107"/>
      <c r="H581" s="105" t="s">
        <v>4338</v>
      </c>
      <c r="I581" s="119" t="s">
        <v>4339</v>
      </c>
      <c r="J581" s="105" t="s">
        <v>4350</v>
      </c>
      <c r="K581" s="105" t="str">
        <f>IFERROR(__xludf.DUMMYFUNCTION("GOOGLETRANSLATE(J581,""he"",""en"")"),"Snyders pretzels and cheese sandwich 226 grams Tz""dr")</f>
        <v>Snyders pretzels and cheese sandwich 226 grams Tz"dr</v>
      </c>
      <c r="L581" s="104" t="s">
        <v>4352</v>
      </c>
      <c r="M581" s="105" t="s">
        <v>6408</v>
      </c>
      <c r="N581" s="108" t="s">
        <v>6409</v>
      </c>
      <c r="O581" s="109"/>
      <c r="P581" s="109"/>
      <c r="Q581" s="115" t="s">
        <v>4353</v>
      </c>
      <c r="R581" s="116"/>
      <c r="S581" s="118"/>
      <c r="T581" s="117"/>
      <c r="U581" s="102"/>
      <c r="V581" s="102"/>
      <c r="W581" s="102"/>
      <c r="X581" s="102"/>
      <c r="Y581" s="102"/>
      <c r="Z581" s="102"/>
      <c r="AA581" s="102"/>
      <c r="AB581" s="102"/>
      <c r="AC581" s="113"/>
      <c r="AD581" s="113"/>
      <c r="AE581" s="113"/>
    </row>
    <row r="582">
      <c r="A582" s="114">
        <v>7.7975091975E10</v>
      </c>
      <c r="B582" s="104" t="str">
        <f t="shared" si="1"/>
        <v>Snyders_Snyders Sandwich bagels with cream flavor</v>
      </c>
      <c r="C582" s="105">
        <v>0.14</v>
      </c>
      <c r="D582" s="105">
        <v>0.26</v>
      </c>
      <c r="E582" s="105">
        <v>0.035</v>
      </c>
      <c r="F582" s="106">
        <f>ROUND('Meta data'!$B$1/E582,0)</f>
        <v>9</v>
      </c>
      <c r="G582" s="107"/>
      <c r="H582" s="105" t="s">
        <v>4338</v>
      </c>
      <c r="I582" s="119" t="s">
        <v>4339</v>
      </c>
      <c r="J582" s="105" t="s">
        <v>4370</v>
      </c>
      <c r="K582" s="105" t="str">
        <f>IFERROR(__xludf.DUMMYFUNCTION("GOOGLETRANSLATE(J582,""he"",""en"")"),"Snyders Sandwich bagels with cream flavor")</f>
        <v>Snyders Sandwich bagels with cream flavor</v>
      </c>
      <c r="L582" s="104" t="s">
        <v>4372</v>
      </c>
      <c r="M582" s="105" t="s">
        <v>6408</v>
      </c>
      <c r="N582" s="108" t="s">
        <v>6409</v>
      </c>
      <c r="O582" s="109"/>
      <c r="P582" s="109"/>
      <c r="Q582" s="115" t="s">
        <v>4373</v>
      </c>
      <c r="R582" s="13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2"/>
      <c r="AC582" s="113"/>
      <c r="AD582" s="113"/>
      <c r="AE582" s="113"/>
    </row>
    <row r="583">
      <c r="A583" s="114">
        <v>7.290011018474E12</v>
      </c>
      <c r="B583" s="104" t="str">
        <f t="shared" si="1"/>
        <v>Sommersby_Sommersby cider</v>
      </c>
      <c r="C583" s="105">
        <v>0.055</v>
      </c>
      <c r="D583" s="105">
        <v>0.239</v>
      </c>
      <c r="E583" s="105">
        <v>0.055</v>
      </c>
      <c r="F583" s="106">
        <f>ROUND('Meta data'!$B$1/E583,0)</f>
        <v>5</v>
      </c>
      <c r="G583" s="107"/>
      <c r="H583" s="105" t="s">
        <v>4389</v>
      </c>
      <c r="I583" s="105" t="str">
        <f>IFERROR(__xludf.DUMMYFUNCTION("GOOGLETRANSLATE(H583,""he"",""en"")"),"Sommersby")</f>
        <v>Sommersby</v>
      </c>
      <c r="J583" s="105" t="s">
        <v>4391</v>
      </c>
      <c r="K583" s="105" t="str">
        <f>IFERROR(__xludf.DUMMYFUNCTION("GOOGLETRANSLATE(J583,""he"",""en"")"),"Sommersby cider")</f>
        <v>Sommersby cider</v>
      </c>
      <c r="L583" s="104" t="s">
        <v>4395</v>
      </c>
      <c r="M583" s="105" t="s">
        <v>6335</v>
      </c>
      <c r="N583" s="108" t="s">
        <v>6336</v>
      </c>
      <c r="O583" s="109"/>
      <c r="P583" s="109"/>
      <c r="Q583" s="111" t="s">
        <v>4394</v>
      </c>
      <c r="R583" s="115"/>
      <c r="S583" s="112"/>
      <c r="T583" s="102"/>
      <c r="U583" s="102"/>
      <c r="V583" s="102"/>
      <c r="W583" s="102"/>
      <c r="X583" s="102"/>
      <c r="Y583" s="102"/>
      <c r="Z583" s="102"/>
      <c r="AA583" s="102"/>
      <c r="AB583" s="102"/>
      <c r="AC583" s="113"/>
      <c r="AD583" s="113"/>
      <c r="AE583" s="113"/>
    </row>
    <row r="584">
      <c r="A584" s="114">
        <v>7.290112344007E12</v>
      </c>
      <c r="B584" s="104" t="str">
        <f t="shared" si="1"/>
        <v>Splendid_Splendid Munchies Milk Hazelnut and coconut 105</v>
      </c>
      <c r="C584" s="105">
        <v>0.09999999</v>
      </c>
      <c r="D584" s="105">
        <v>0.15</v>
      </c>
      <c r="E584" s="105">
        <v>0.05</v>
      </c>
      <c r="F584" s="106">
        <f>ROUND('Meta data'!$B$1/E584,0)</f>
        <v>6</v>
      </c>
      <c r="G584" s="107"/>
      <c r="H584" s="105" t="s">
        <v>4398</v>
      </c>
      <c r="I584" s="105" t="str">
        <f>IFERROR(__xludf.DUMMYFUNCTION("GOOGLETRANSLATE(H584,""he"",""en"")"),"Splendid")</f>
        <v>Splendid</v>
      </c>
      <c r="J584" s="105" t="s">
        <v>4413</v>
      </c>
      <c r="K584" s="105" t="str">
        <f>IFERROR(__xludf.DUMMYFUNCTION("GOOGLETRANSLATE(J584,""he"",""en"")"),"Splendid Munchies Milk Hazelnut and coconut 105")</f>
        <v>Splendid Munchies Milk Hazelnut and coconut 105</v>
      </c>
      <c r="L584" s="104" t="s">
        <v>4417</v>
      </c>
      <c r="M584" s="105" t="s">
        <v>6302</v>
      </c>
      <c r="N584" s="108" t="s">
        <v>6355</v>
      </c>
      <c r="O584" s="109"/>
      <c r="P584" s="109"/>
      <c r="Q584" s="115" t="s">
        <v>4416</v>
      </c>
      <c r="R584" s="116"/>
      <c r="S584" s="117"/>
      <c r="T584" s="118"/>
      <c r="U584" s="117"/>
      <c r="V584" s="102"/>
      <c r="W584" s="102"/>
      <c r="X584" s="102"/>
      <c r="Y584" s="102"/>
      <c r="Z584" s="102"/>
      <c r="AA584" s="102"/>
      <c r="AB584" s="102"/>
      <c r="AC584" s="113"/>
      <c r="AD584" s="113"/>
      <c r="AE584" s="113"/>
    </row>
    <row r="585">
      <c r="A585" s="114">
        <v>7.290112344793E12</v>
      </c>
      <c r="B585" s="104" t="str">
        <f t="shared" si="1"/>
        <v>Splendid_Splendid BITES bitter hazelnuts and cranberries</v>
      </c>
      <c r="C585" s="105">
        <v>0.09999999</v>
      </c>
      <c r="D585" s="105">
        <v>0.15</v>
      </c>
      <c r="E585" s="105">
        <v>0.05</v>
      </c>
      <c r="F585" s="106">
        <f>ROUND('Meta data'!$B$1/E585,0)</f>
        <v>6</v>
      </c>
      <c r="G585" s="107"/>
      <c r="H585" s="105" t="s">
        <v>4398</v>
      </c>
      <c r="I585" s="105" t="str">
        <f>IFERROR(__xludf.DUMMYFUNCTION("GOOGLETRANSLATE(H585,""he"",""en"")"),"Splendid")</f>
        <v>Splendid</v>
      </c>
      <c r="J585" s="105" t="s">
        <v>4406</v>
      </c>
      <c r="K585" s="105" t="str">
        <f>IFERROR(__xludf.DUMMYFUNCTION("GOOGLETRANSLATE(J585,""he"",""en"")"),"Splendid BITES bitter hazelnuts and cranberries")</f>
        <v>Splendid BITES bitter hazelnuts and cranberries</v>
      </c>
      <c r="L585" s="104" t="s">
        <v>4410</v>
      </c>
      <c r="M585" s="105" t="s">
        <v>6302</v>
      </c>
      <c r="N585" s="108" t="s">
        <v>6355</v>
      </c>
      <c r="O585" s="109"/>
      <c r="P585" s="109"/>
      <c r="Q585" s="115" t="s">
        <v>4409</v>
      </c>
      <c r="R585" s="116"/>
      <c r="S585" s="117"/>
      <c r="T585" s="118"/>
      <c r="U585" s="117"/>
      <c r="V585" s="117"/>
      <c r="W585" s="102"/>
      <c r="X585" s="102"/>
      <c r="Y585" s="102"/>
      <c r="Z585" s="102"/>
      <c r="AA585" s="102"/>
      <c r="AB585" s="102"/>
      <c r="AC585" s="113"/>
      <c r="AD585" s="113"/>
      <c r="AE585" s="113"/>
    </row>
    <row r="586">
      <c r="A586" s="114">
        <v>7.290105961525E12</v>
      </c>
      <c r="B586" s="104" t="str">
        <f t="shared" si="1"/>
        <v>Splendid_Dark Chocolate 85% Splendid December Legg 100 g</v>
      </c>
      <c r="C586" s="105">
        <v>0.09</v>
      </c>
      <c r="D586" s="105">
        <v>0.18</v>
      </c>
      <c r="E586" s="105">
        <v>0.01</v>
      </c>
      <c r="F586" s="106">
        <f>ROUND('Meta data'!$B$1/E586,0)</f>
        <v>30</v>
      </c>
      <c r="G586" s="107"/>
      <c r="H586" s="105" t="s">
        <v>4398</v>
      </c>
      <c r="I586" s="105" t="str">
        <f>IFERROR(__xludf.DUMMYFUNCTION("GOOGLETRANSLATE(H586,""he"",""en"")"),"Splendid")</f>
        <v>Splendid</v>
      </c>
      <c r="J586" s="105" t="s">
        <v>4400</v>
      </c>
      <c r="K586" s="105" t="str">
        <f>IFERROR(__xludf.DUMMYFUNCTION("GOOGLETRANSLATE(J586,""he"",""en"")"),"Dark Chocolate 85% Splendid December Legg 100 g")</f>
        <v>Dark Chocolate 85% Splendid December Legg 100 g</v>
      </c>
      <c r="L586" s="104" t="s">
        <v>4404</v>
      </c>
      <c r="M586" s="105" t="s">
        <v>6404</v>
      </c>
      <c r="N586" s="108" t="s">
        <v>6431</v>
      </c>
      <c r="O586" s="109"/>
      <c r="P586" s="109"/>
      <c r="Q586" s="115" t="s">
        <v>4403</v>
      </c>
      <c r="R586" s="116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13"/>
      <c r="AD586" s="113"/>
      <c r="AE586" s="113"/>
    </row>
    <row r="587">
      <c r="A587" s="114">
        <v>7.290005564253E12</v>
      </c>
      <c r="B587" s="104" t="str">
        <f t="shared" si="1"/>
        <v>Spring_Spring apple pear prickly pears, 1.5 liter</v>
      </c>
      <c r="C587" s="105">
        <v>0.09</v>
      </c>
      <c r="D587" s="105">
        <v>0.316</v>
      </c>
      <c r="E587" s="105">
        <v>0.09</v>
      </c>
      <c r="F587" s="106">
        <f>ROUND('Meta data'!$B$1/E587,0)</f>
        <v>3</v>
      </c>
      <c r="G587" s="107"/>
      <c r="H587" s="105" t="s">
        <v>4419</v>
      </c>
      <c r="I587" s="105" t="str">
        <f>IFERROR(__xludf.DUMMYFUNCTION("GOOGLETRANSLATE(H587,""he"",""en"")"),"Spring")</f>
        <v>Spring</v>
      </c>
      <c r="J587" s="105" t="s">
        <v>4427</v>
      </c>
      <c r="K587" s="105" t="str">
        <f>IFERROR(__xludf.DUMMYFUNCTION("GOOGLETRANSLATE(J587,""he"",""en"")"),"Spring apple pear prickly pears, 1.5 liter")</f>
        <v>Spring apple pear prickly pears, 1.5 liter</v>
      </c>
      <c r="L587" s="104" t="s">
        <v>4431</v>
      </c>
      <c r="M587" s="105" t="s">
        <v>6351</v>
      </c>
      <c r="N587" s="108" t="s">
        <v>6428</v>
      </c>
      <c r="O587" s="109"/>
      <c r="P587" s="109"/>
      <c r="Q587" s="111" t="s">
        <v>4430</v>
      </c>
      <c r="R587" s="111"/>
      <c r="S587" s="112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13"/>
      <c r="AD587" s="113"/>
      <c r="AE587" s="113"/>
    </row>
    <row r="588">
      <c r="A588" s="114">
        <v>7.290003608089E12</v>
      </c>
      <c r="B588" s="104" t="str">
        <f t="shared" si="1"/>
        <v>Spring_Spring Strawberry Banana 1.5, 1.5 liters</v>
      </c>
      <c r="C588" s="105">
        <v>0.09</v>
      </c>
      <c r="D588" s="105">
        <v>0.316</v>
      </c>
      <c r="E588" s="105">
        <v>0.09</v>
      </c>
      <c r="F588" s="106">
        <f>ROUND('Meta data'!$B$1/E588,0)</f>
        <v>3</v>
      </c>
      <c r="G588" s="107"/>
      <c r="H588" s="105" t="s">
        <v>4419</v>
      </c>
      <c r="I588" s="105" t="str">
        <f>IFERROR(__xludf.DUMMYFUNCTION("GOOGLETRANSLATE(H588,""he"",""en"")"),"Spring")</f>
        <v>Spring</v>
      </c>
      <c r="J588" s="105" t="s">
        <v>4439</v>
      </c>
      <c r="K588" s="105" t="str">
        <f>IFERROR(__xludf.DUMMYFUNCTION("GOOGLETRANSLATE(J588,""he"",""en"")"),"Spring Strawberry Banana 1.5, 1.5 liters")</f>
        <v>Spring Strawberry Banana 1.5, 1.5 liters</v>
      </c>
      <c r="L588" s="104" t="s">
        <v>4443</v>
      </c>
      <c r="M588" s="105" t="s">
        <v>6351</v>
      </c>
      <c r="N588" s="108" t="s">
        <v>6428</v>
      </c>
      <c r="O588" s="109"/>
      <c r="P588" s="109"/>
      <c r="Q588" s="111" t="s">
        <v>4442</v>
      </c>
      <c r="R588" s="111"/>
      <c r="S588" s="11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13"/>
      <c r="AD588" s="113"/>
      <c r="AE588" s="113"/>
    </row>
    <row r="589">
      <c r="A589" s="114">
        <v>7.290016006773E12</v>
      </c>
      <c r="B589" s="104" t="str">
        <f t="shared" si="1"/>
        <v>Spring_Spring apple and pear nectar bottle of 330 ml Sabers</v>
      </c>
      <c r="C589" s="105">
        <v>0.065</v>
      </c>
      <c r="D589" s="105">
        <v>0.172</v>
      </c>
      <c r="E589" s="105">
        <v>0.065</v>
      </c>
      <c r="F589" s="106">
        <f>ROUND('Meta data'!$B$1/E589,0)</f>
        <v>5</v>
      </c>
      <c r="G589" s="107"/>
      <c r="H589" s="105" t="s">
        <v>4419</v>
      </c>
      <c r="I589" s="105" t="str">
        <f>IFERROR(__xludf.DUMMYFUNCTION("GOOGLETRANSLATE(H589,""he"",""en"")"),"Spring")</f>
        <v>Spring</v>
      </c>
      <c r="J589" s="105" t="s">
        <v>4421</v>
      </c>
      <c r="K589" s="105" t="str">
        <f>IFERROR(__xludf.DUMMYFUNCTION("GOOGLETRANSLATE(J589,""he"",""en"")"),"Spring apple and pear nectar bottle of 330 ml Sabers")</f>
        <v>Spring apple and pear nectar bottle of 330 ml Sabers</v>
      </c>
      <c r="L589" s="104" t="s">
        <v>4425</v>
      </c>
      <c r="M589" s="105" t="s">
        <v>6420</v>
      </c>
      <c r="N589" s="108" t="s">
        <v>6421</v>
      </c>
      <c r="O589" s="109"/>
      <c r="P589" s="109"/>
      <c r="Q589" s="115" t="s">
        <v>4424</v>
      </c>
      <c r="R589" s="116"/>
      <c r="S589" s="117"/>
      <c r="T589" s="102"/>
      <c r="U589" s="102"/>
      <c r="V589" s="102"/>
      <c r="W589" s="102"/>
      <c r="X589" s="102"/>
      <c r="Y589" s="102"/>
      <c r="Z589" s="102"/>
      <c r="AA589" s="102"/>
      <c r="AB589" s="102"/>
      <c r="AC589" s="113"/>
      <c r="AD589" s="113"/>
      <c r="AE589" s="113"/>
    </row>
    <row r="590">
      <c r="A590" s="114">
        <v>7.290016006759E12</v>
      </c>
      <c r="B590" s="104" t="str">
        <f t="shared" si="1"/>
        <v>Spring_Spring Exotic Mango 330 ml glass</v>
      </c>
      <c r="C590" s="105">
        <v>0.065</v>
      </c>
      <c r="D590" s="105">
        <v>0.172</v>
      </c>
      <c r="E590" s="105">
        <v>0.065</v>
      </c>
      <c r="F590" s="106">
        <f>ROUND('Meta data'!$B$1/E590,0)</f>
        <v>5</v>
      </c>
      <c r="G590" s="107"/>
      <c r="H590" s="105" t="s">
        <v>4419</v>
      </c>
      <c r="I590" s="105" t="str">
        <f>IFERROR(__xludf.DUMMYFUNCTION("GOOGLETRANSLATE(H590,""he"",""en"")"),"Spring")</f>
        <v>Spring</v>
      </c>
      <c r="J590" s="105" t="s">
        <v>4433</v>
      </c>
      <c r="K590" s="105" t="str">
        <f>IFERROR(__xludf.DUMMYFUNCTION("GOOGLETRANSLATE(J590,""he"",""en"")"),"Spring Exotic Mango 330 ml glass")</f>
        <v>Spring Exotic Mango 330 ml glass</v>
      </c>
      <c r="L590" s="104" t="s">
        <v>4437</v>
      </c>
      <c r="M590" s="105" t="s">
        <v>6420</v>
      </c>
      <c r="N590" s="108" t="s">
        <v>6421</v>
      </c>
      <c r="O590" s="109"/>
      <c r="P590" s="109"/>
      <c r="Q590" s="115" t="s">
        <v>4436</v>
      </c>
      <c r="R590" s="116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2"/>
      <c r="AC590" s="113"/>
      <c r="AD590" s="113"/>
      <c r="AE590" s="113"/>
    </row>
    <row r="591">
      <c r="A591" s="114">
        <v>7.290013585257E12</v>
      </c>
      <c r="B591" s="104" t="str">
        <f t="shared" si="1"/>
        <v>Sprite_Sprite Zero 500 ml</v>
      </c>
      <c r="C591" s="105">
        <v>0.065</v>
      </c>
      <c r="D591" s="105">
        <v>0.24</v>
      </c>
      <c r="E591" s="105">
        <v>0.065</v>
      </c>
      <c r="F591" s="106">
        <f>ROUND('Meta data'!$B$1/E591,0)</f>
        <v>5</v>
      </c>
      <c r="G591" s="107"/>
      <c r="H591" s="105" t="s">
        <v>4445</v>
      </c>
      <c r="I591" s="105" t="str">
        <f>IFERROR(__xludf.DUMMYFUNCTION("GOOGLETRANSLATE(H591,""he"",""en"")"),"Sprite")</f>
        <v>Sprite</v>
      </c>
      <c r="J591" s="105" t="s">
        <v>4473</v>
      </c>
      <c r="K591" s="105" t="str">
        <f>IFERROR(__xludf.DUMMYFUNCTION("GOOGLETRANSLATE(J591,""he"",""en"")"),"Sprite Zero 500 ml")</f>
        <v>Sprite Zero 500 ml</v>
      </c>
      <c r="L591" s="104" t="s">
        <v>4478</v>
      </c>
      <c r="M591" s="105" t="s">
        <v>6596</v>
      </c>
      <c r="N591" s="108" t="s">
        <v>6597</v>
      </c>
      <c r="O591" s="109"/>
      <c r="P591" s="109"/>
      <c r="Q591" s="115" t="s">
        <v>4477</v>
      </c>
      <c r="R591" s="116"/>
      <c r="S591" s="117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13"/>
      <c r="AD591" s="113"/>
      <c r="AE591" s="113"/>
    </row>
    <row r="592">
      <c r="A592" s="114">
        <v>7.290013585233E12</v>
      </c>
      <c r="B592" s="104" t="str">
        <f t="shared" si="1"/>
        <v>Sprite_Sprite Zero can</v>
      </c>
      <c r="C592" s="105">
        <v>0.057</v>
      </c>
      <c r="D592" s="105">
        <v>0.14</v>
      </c>
      <c r="E592" s="105">
        <v>0.057</v>
      </c>
      <c r="F592" s="106">
        <f>ROUND('Meta data'!$B$1/E592,0)</f>
        <v>5</v>
      </c>
      <c r="G592" s="107"/>
      <c r="H592" s="105" t="s">
        <v>4445</v>
      </c>
      <c r="I592" s="105" t="str">
        <f>IFERROR(__xludf.DUMMYFUNCTION("GOOGLETRANSLATE(H592,""he"",""en"")"),"Sprite")</f>
        <v>Sprite</v>
      </c>
      <c r="J592" s="105" t="s">
        <v>4480</v>
      </c>
      <c r="K592" s="105" t="str">
        <f>IFERROR(__xludf.DUMMYFUNCTION("GOOGLETRANSLATE(J592,""he"",""en"")"),"Sprite Zero can")</f>
        <v>Sprite Zero can</v>
      </c>
      <c r="L592" s="104" t="s">
        <v>4484</v>
      </c>
      <c r="M592" s="105" t="s">
        <v>6596</v>
      </c>
      <c r="N592" s="108" t="s">
        <v>6597</v>
      </c>
      <c r="O592" s="109"/>
      <c r="P592" s="109"/>
      <c r="Q592" s="115" t="s">
        <v>4483</v>
      </c>
      <c r="R592" s="116"/>
      <c r="S592" s="117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13"/>
      <c r="AD592" s="113"/>
      <c r="AE592" s="113"/>
    </row>
    <row r="593">
      <c r="A593" s="114">
        <v>7.29001358524E12</v>
      </c>
      <c r="B593" s="104" t="str">
        <f t="shared" si="1"/>
        <v>Sprite_1.5 liter Sprite Zero</v>
      </c>
      <c r="C593" s="105">
        <v>0.095</v>
      </c>
      <c r="D593" s="105">
        <v>0.333</v>
      </c>
      <c r="E593" s="105">
        <v>0.095</v>
      </c>
      <c r="F593" s="106">
        <f>ROUND('Meta data'!$B$1/E593,0)</f>
        <v>3</v>
      </c>
      <c r="G593" s="107"/>
      <c r="H593" s="105" t="s">
        <v>4445</v>
      </c>
      <c r="I593" s="105" t="str">
        <f>IFERROR(__xludf.DUMMYFUNCTION("GOOGLETRANSLATE(H593,""he"",""en"")"),"Sprite")</f>
        <v>Sprite</v>
      </c>
      <c r="J593" s="105" t="s">
        <v>4447</v>
      </c>
      <c r="K593" s="105" t="str">
        <f>IFERROR(__xludf.DUMMYFUNCTION("GOOGLETRANSLATE(J593,""he"",""en"")"),"1.5 liter Sprite Zero")</f>
        <v>1.5 liter Sprite Zero</v>
      </c>
      <c r="L593" s="104" t="s">
        <v>4453</v>
      </c>
      <c r="M593" s="105" t="s">
        <v>6596</v>
      </c>
      <c r="N593" s="108" t="s">
        <v>6598</v>
      </c>
      <c r="O593" s="109"/>
      <c r="P593" s="109"/>
      <c r="Q593" s="115" t="s">
        <v>4452</v>
      </c>
      <c r="R593" s="116"/>
      <c r="S593" s="117"/>
      <c r="T593" s="117"/>
      <c r="U593" s="118"/>
      <c r="V593" s="117"/>
      <c r="W593" s="102"/>
      <c r="X593" s="102"/>
      <c r="Y593" s="102"/>
      <c r="Z593" s="102"/>
      <c r="AA593" s="102"/>
      <c r="AB593" s="102"/>
      <c r="AC593" s="113"/>
      <c r="AD593" s="113"/>
      <c r="AE593" s="113"/>
    </row>
    <row r="594">
      <c r="A594" s="114">
        <v>7.290110110635E12</v>
      </c>
      <c r="B594" s="104" t="str">
        <f t="shared" si="1"/>
        <v>Sprite_Sprite Lime personal bottle</v>
      </c>
      <c r="C594" s="105">
        <v>0.065</v>
      </c>
      <c r="D594" s="105">
        <v>0.24</v>
      </c>
      <c r="E594" s="105">
        <v>0.065</v>
      </c>
      <c r="F594" s="106">
        <f>ROUND('Meta data'!$B$1/E594,0)</f>
        <v>5</v>
      </c>
      <c r="G594" s="107"/>
      <c r="H594" s="105" t="s">
        <v>4445</v>
      </c>
      <c r="I594" s="105" t="str">
        <f>IFERROR(__xludf.DUMMYFUNCTION("GOOGLETRANSLATE(H594,""he"",""en"")"),"Sprite")</f>
        <v>Sprite</v>
      </c>
      <c r="J594" s="105" t="s">
        <v>4467</v>
      </c>
      <c r="K594" s="105" t="str">
        <f>IFERROR(__xludf.DUMMYFUNCTION("GOOGLETRANSLATE(J594,""he"",""en"")"),"Sprite Lime personal bottle")</f>
        <v>Sprite Lime personal bottle</v>
      </c>
      <c r="L594" s="104" t="s">
        <v>4471</v>
      </c>
      <c r="M594" s="105" t="s">
        <v>6587</v>
      </c>
      <c r="N594" s="108" t="s">
        <v>6588</v>
      </c>
      <c r="O594" s="109"/>
      <c r="P594" s="109"/>
      <c r="Q594" s="115" t="s">
        <v>4470</v>
      </c>
      <c r="R594" s="116"/>
      <c r="S594" s="124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13"/>
      <c r="AD594" s="113"/>
      <c r="AE594" s="113"/>
    </row>
    <row r="595">
      <c r="A595" s="114">
        <v>7.290110110659E12</v>
      </c>
      <c r="B595" s="104" t="str">
        <f t="shared" si="1"/>
        <v>Sprite_Lime can of Sprite</v>
      </c>
      <c r="C595" s="105">
        <v>0.057</v>
      </c>
      <c r="D595" s="105">
        <v>0.14</v>
      </c>
      <c r="E595" s="105">
        <v>0.057</v>
      </c>
      <c r="F595" s="106">
        <f>ROUND('Meta data'!$B$1/E595,0)</f>
        <v>5</v>
      </c>
      <c r="G595" s="107"/>
      <c r="H595" s="105" t="s">
        <v>4445</v>
      </c>
      <c r="I595" s="105" t="str">
        <f>IFERROR(__xludf.DUMMYFUNCTION("GOOGLETRANSLATE(H595,""he"",""en"")"),"Sprite")</f>
        <v>Sprite</v>
      </c>
      <c r="J595" s="105" t="s">
        <v>4455</v>
      </c>
      <c r="K595" s="105" t="str">
        <f>IFERROR(__xludf.DUMMYFUNCTION("GOOGLETRANSLATE(J595,""he"",""en"")"),"Lime can of Sprite")</f>
        <v>Lime can of Sprite</v>
      </c>
      <c r="L595" s="104" t="s">
        <v>4459</v>
      </c>
      <c r="M595" s="105" t="s">
        <v>6587</v>
      </c>
      <c r="N595" s="108" t="s">
        <v>6588</v>
      </c>
      <c r="O595" s="109"/>
      <c r="P595" s="109"/>
      <c r="Q595" s="115" t="s">
        <v>4458</v>
      </c>
      <c r="R595" s="116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13"/>
      <c r="AD595" s="113"/>
      <c r="AE595" s="113"/>
    </row>
    <row r="596">
      <c r="A596" s="114">
        <v>7.290110110611E12</v>
      </c>
      <c r="B596" s="104" t="str">
        <f t="shared" si="1"/>
        <v>Sprite_Lime Sprite bottle</v>
      </c>
      <c r="C596" s="105">
        <v>0.095</v>
      </c>
      <c r="D596" s="105">
        <v>0.333</v>
      </c>
      <c r="E596" s="105">
        <v>0.095</v>
      </c>
      <c r="F596" s="106">
        <f>ROUND('Meta data'!$B$1/E596,0)</f>
        <v>3</v>
      </c>
      <c r="G596" s="107"/>
      <c r="H596" s="105" t="s">
        <v>4445</v>
      </c>
      <c r="I596" s="105" t="str">
        <f>IFERROR(__xludf.DUMMYFUNCTION("GOOGLETRANSLATE(H596,""he"",""en"")"),"Sprite")</f>
        <v>Sprite</v>
      </c>
      <c r="J596" s="105" t="s">
        <v>4461</v>
      </c>
      <c r="K596" s="105" t="str">
        <f>IFERROR(__xludf.DUMMYFUNCTION("GOOGLETRANSLATE(J596,""he"",""en"")"),"Lime Sprite bottle")</f>
        <v>Lime Sprite bottle</v>
      </c>
      <c r="L596" s="104" t="s">
        <v>4465</v>
      </c>
      <c r="M596" s="105" t="s">
        <v>6587</v>
      </c>
      <c r="N596" s="108" t="s">
        <v>6589</v>
      </c>
      <c r="O596" s="109"/>
      <c r="P596" s="109"/>
      <c r="Q596" s="111" t="s">
        <v>4464</v>
      </c>
      <c r="R596" s="116"/>
      <c r="S596" s="117"/>
      <c r="T596" s="118"/>
      <c r="U596" s="117"/>
      <c r="V596" s="102"/>
      <c r="W596" s="102"/>
      <c r="X596" s="102"/>
      <c r="Y596" s="102"/>
      <c r="Z596" s="102"/>
      <c r="AA596" s="102"/>
      <c r="AB596" s="102"/>
      <c r="AC596" s="113"/>
      <c r="AD596" s="113"/>
      <c r="AE596" s="113"/>
    </row>
    <row r="597">
      <c r="A597" s="114">
        <v>7.290002542773E12</v>
      </c>
      <c r="B597" s="104" t="str">
        <f t="shared" si="1"/>
        <v>Stella_Stella Artois beer bright 5% alcohol 330 ml</v>
      </c>
      <c r="C597" s="105">
        <v>0.06</v>
      </c>
      <c r="D597" s="105">
        <v>0.23</v>
      </c>
      <c r="E597" s="105">
        <v>0.06</v>
      </c>
      <c r="F597" s="106">
        <f>ROUND('Meta data'!$B$1/E597,0)</f>
        <v>5</v>
      </c>
      <c r="G597" s="107"/>
      <c r="H597" s="105" t="s">
        <v>4503</v>
      </c>
      <c r="I597" s="105" t="str">
        <f>IFERROR(__xludf.DUMMYFUNCTION("GOOGLETRANSLATE(H597,""he"",""en"")"),"Stella")</f>
        <v>Stella</v>
      </c>
      <c r="J597" s="105" t="s">
        <v>4505</v>
      </c>
      <c r="K597" s="105" t="str">
        <f>IFERROR(__xludf.DUMMYFUNCTION("GOOGLETRANSLATE(J597,""he"",""en"")"),"Stella Artois beer bright 5% alcohol 330 ml")</f>
        <v>Stella Artois beer bright 5% alcohol 330 ml</v>
      </c>
      <c r="L597" s="104" t="s">
        <v>4509</v>
      </c>
      <c r="M597" s="105" t="s">
        <v>6332</v>
      </c>
      <c r="N597" s="108" t="s">
        <v>6338</v>
      </c>
      <c r="O597" s="109"/>
      <c r="P597" s="109"/>
      <c r="Q597" s="115" t="s">
        <v>4508</v>
      </c>
      <c r="R597" s="116"/>
      <c r="S597" s="117"/>
      <c r="T597" s="117"/>
      <c r="U597" s="118"/>
      <c r="V597" s="102"/>
      <c r="W597" s="102"/>
      <c r="X597" s="102"/>
      <c r="Y597" s="102"/>
      <c r="Z597" s="102"/>
      <c r="AA597" s="102"/>
      <c r="AB597" s="102"/>
      <c r="AC597" s="113"/>
      <c r="AD597" s="113"/>
      <c r="AE597" s="113"/>
    </row>
    <row r="598">
      <c r="A598" s="114">
        <v>5.410228217732E12</v>
      </c>
      <c r="B598" s="104" t="str">
        <f t="shared" si="1"/>
        <v>Stella_Stella Artois can of 440 ml</v>
      </c>
      <c r="C598" s="105">
        <v>0.065</v>
      </c>
      <c r="D598" s="105">
        <v>0.15</v>
      </c>
      <c r="E598" s="105">
        <v>0.065</v>
      </c>
      <c r="F598" s="106">
        <f>ROUND('Meta data'!$B$1/E598,0)</f>
        <v>5</v>
      </c>
      <c r="G598" s="107"/>
      <c r="H598" s="105" t="s">
        <v>4503</v>
      </c>
      <c r="I598" s="105" t="str">
        <f>IFERROR(__xludf.DUMMYFUNCTION("GOOGLETRANSLATE(H598,""he"",""en"")"),"Stella")</f>
        <v>Stella</v>
      </c>
      <c r="J598" s="105" t="s">
        <v>4511</v>
      </c>
      <c r="K598" s="105" t="str">
        <f>IFERROR(__xludf.DUMMYFUNCTION("GOOGLETRANSLATE(J598,""he"",""en"")"),"Stella Artois can of 440 ml")</f>
        <v>Stella Artois can of 440 ml</v>
      </c>
      <c r="L598" s="104" t="s">
        <v>4515</v>
      </c>
      <c r="M598" s="105" t="s">
        <v>6332</v>
      </c>
      <c r="N598" s="108" t="s">
        <v>6340</v>
      </c>
      <c r="O598" s="109"/>
      <c r="P598" s="109"/>
      <c r="Q598" s="111" t="s">
        <v>4514</v>
      </c>
      <c r="R598" s="111"/>
      <c r="S598" s="118"/>
      <c r="T598" s="112"/>
      <c r="U598" s="102"/>
      <c r="V598" s="102"/>
      <c r="W598" s="102"/>
      <c r="X598" s="102"/>
      <c r="Y598" s="102"/>
      <c r="Z598" s="102"/>
      <c r="AA598" s="102"/>
      <c r="AB598" s="102"/>
      <c r="AC598" s="113"/>
      <c r="AD598" s="113"/>
      <c r="AE598" s="113"/>
    </row>
    <row r="599">
      <c r="A599" s="114">
        <v>7.290106664067E12</v>
      </c>
      <c r="B599" s="104" t="str">
        <f t="shared" si="1"/>
        <v>Strauss_Labaneh cheese 10% fat</v>
      </c>
      <c r="C599" s="105">
        <v>0.11</v>
      </c>
      <c r="D599" s="105">
        <v>0.09999999</v>
      </c>
      <c r="E599" s="105">
        <v>0.075</v>
      </c>
      <c r="F599" s="106">
        <f>ROUND('Meta data'!$B$1/E599,0)</f>
        <v>4</v>
      </c>
      <c r="G599" s="107"/>
      <c r="H599" s="105" t="s">
        <v>2306</v>
      </c>
      <c r="I599" s="105" t="str">
        <f>IFERROR(__xludf.DUMMYFUNCTION("GOOGLETRANSLATE(H599,""he"",""en"")"),"Strauss")</f>
        <v>Strauss</v>
      </c>
      <c r="J599" s="105" t="s">
        <v>2308</v>
      </c>
      <c r="K599" s="105" t="str">
        <f>IFERROR(__xludf.DUMMYFUNCTION("GOOGLETRANSLATE(J599,""he"",""en"")"),"Labaneh cheese 10% fat")</f>
        <v>Labaneh cheese 10% fat</v>
      </c>
      <c r="L599" s="104" t="s">
        <v>2314</v>
      </c>
      <c r="M599" s="105" t="s">
        <v>6562</v>
      </c>
      <c r="N599" s="108" t="s">
        <v>6563</v>
      </c>
      <c r="O599" s="109"/>
      <c r="P599" s="109"/>
      <c r="Q599" s="115" t="s">
        <v>2313</v>
      </c>
      <c r="R599" s="115"/>
      <c r="S599" s="117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13"/>
      <c r="AD599" s="113"/>
      <c r="AE599" s="113"/>
    </row>
    <row r="600">
      <c r="A600" s="114">
        <v>5.035766044673E12</v>
      </c>
      <c r="B600" s="104" t="str">
        <f t="shared" si="1"/>
        <v>Strongbao_Apple Cider 5% alcohol Strongbao 330 ml</v>
      </c>
      <c r="C600" s="105">
        <v>0.055</v>
      </c>
      <c r="D600" s="105">
        <v>0.239</v>
      </c>
      <c r="E600" s="105">
        <v>0.055</v>
      </c>
      <c r="F600" s="106">
        <f>ROUND('Meta data'!$B$1/E600,0)</f>
        <v>5</v>
      </c>
      <c r="G600" s="107"/>
      <c r="H600" s="105" t="s">
        <v>4517</v>
      </c>
      <c r="I600" s="105" t="str">
        <f>IFERROR(__xludf.DUMMYFUNCTION("GOOGLETRANSLATE(H600,""he"",""en"")"),"Strongbao")</f>
        <v>Strongbao</v>
      </c>
      <c r="J600" s="105" t="s">
        <v>4519</v>
      </c>
      <c r="K600" s="105" t="str">
        <f>IFERROR(__xludf.DUMMYFUNCTION("GOOGLETRANSLATE(J600,""he"",""en"")"),"Apple Cider 5% alcohol Strongbao 330 ml")</f>
        <v>Apple Cider 5% alcohol Strongbao 330 ml</v>
      </c>
      <c r="L600" s="104" t="s">
        <v>4523</v>
      </c>
      <c r="M600" s="105" t="s">
        <v>6335</v>
      </c>
      <c r="N600" s="108" t="s">
        <v>6336</v>
      </c>
      <c r="O600" s="109"/>
      <c r="P600" s="109"/>
      <c r="Q600" s="111" t="s">
        <v>4522</v>
      </c>
      <c r="R600" s="115"/>
      <c r="S600" s="112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13"/>
      <c r="AD600" s="113"/>
      <c r="AE600" s="113"/>
    </row>
    <row r="601">
      <c r="A601" s="114">
        <v>7.290003643387E12</v>
      </c>
      <c r="B601" s="104" t="str">
        <f t="shared" si="1"/>
        <v>Sugat_White sugar 1kg jar</v>
      </c>
      <c r="C601" s="105">
        <v>0.09999999</v>
      </c>
      <c r="D601" s="105">
        <v>0.16</v>
      </c>
      <c r="E601" s="105">
        <v>0.057</v>
      </c>
      <c r="F601" s="106">
        <f>ROUND('Meta data'!$B$1/E601,0)</f>
        <v>5</v>
      </c>
      <c r="G601" s="107"/>
      <c r="H601" s="105" t="s">
        <v>4526</v>
      </c>
      <c r="I601" s="119" t="s">
        <v>5206</v>
      </c>
      <c r="J601" s="105" t="s">
        <v>4528</v>
      </c>
      <c r="K601" s="105" t="str">
        <f>IFERROR(__xludf.DUMMYFUNCTION("GOOGLETRANSLATE(J601,""he"",""en"")"),"White sugar 1kg jar")</f>
        <v>White sugar 1kg jar</v>
      </c>
      <c r="L601" s="104" t="s">
        <v>4533</v>
      </c>
      <c r="M601" s="105" t="s">
        <v>4531</v>
      </c>
      <c r="N601" s="108" t="s">
        <v>6599</v>
      </c>
      <c r="O601" s="109"/>
      <c r="P601" s="109"/>
      <c r="Q601" s="115" t="s">
        <v>4532</v>
      </c>
      <c r="R601" s="115"/>
      <c r="S601" s="117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13"/>
      <c r="AD601" s="113"/>
      <c r="AE601" s="113"/>
    </row>
    <row r="602">
      <c r="A602" s="114">
        <v>5839108.0</v>
      </c>
      <c r="B602" s="104" t="str">
        <f t="shared" si="1"/>
        <v>symphony_Olive Symphony creamy texture 5%</v>
      </c>
      <c r="C602" s="105">
        <v>0.122</v>
      </c>
      <c r="D602" s="105">
        <v>0.06</v>
      </c>
      <c r="E602" s="105">
        <v>0.08</v>
      </c>
      <c r="F602" s="106">
        <f>ROUND('Meta data'!$B$1/E602,0)</f>
        <v>4</v>
      </c>
      <c r="G602" s="107"/>
      <c r="H602" s="105" t="s">
        <v>4535</v>
      </c>
      <c r="I602" s="105" t="str">
        <f>IFERROR(__xludf.DUMMYFUNCTION("GOOGLETRANSLATE(H602,""he"",""en"")"),"symphony")</f>
        <v>symphony</v>
      </c>
      <c r="J602" s="105" t="s">
        <v>4546</v>
      </c>
      <c r="K602" s="105" t="str">
        <f>IFERROR(__xludf.DUMMYFUNCTION("GOOGLETRANSLATE(J602,""he"",""en"")"),"Olive Symphony creamy texture 5%")</f>
        <v>Olive Symphony creamy texture 5%</v>
      </c>
      <c r="L602" s="104" t="s">
        <v>4551</v>
      </c>
      <c r="M602" s="105" t="s">
        <v>6600</v>
      </c>
      <c r="N602" s="108" t="s">
        <v>6601</v>
      </c>
      <c r="O602" s="109"/>
      <c r="P602" s="109"/>
      <c r="Q602" s="115" t="s">
        <v>4550</v>
      </c>
      <c r="R602" s="116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13"/>
      <c r="AD602" s="113"/>
      <c r="AE602" s="113"/>
    </row>
    <row r="603">
      <c r="A603" s="114">
        <v>4584351.0</v>
      </c>
      <c r="B603" s="104" t="str">
        <f t="shared" si="1"/>
        <v>symphony_Natural symphony 5%</v>
      </c>
      <c r="C603" s="105">
        <v>0.122</v>
      </c>
      <c r="D603" s="105">
        <v>0.06</v>
      </c>
      <c r="E603" s="105">
        <v>0.08</v>
      </c>
      <c r="F603" s="106">
        <f>ROUND('Meta data'!$B$1/E603,0)</f>
        <v>4</v>
      </c>
      <c r="G603" s="107"/>
      <c r="H603" s="105" t="s">
        <v>4535</v>
      </c>
      <c r="I603" s="105" t="str">
        <f>IFERROR(__xludf.DUMMYFUNCTION("GOOGLETRANSLATE(H603,""he"",""en"")"),"symphony")</f>
        <v>symphony</v>
      </c>
      <c r="J603" s="105" t="s">
        <v>4537</v>
      </c>
      <c r="K603" s="105" t="str">
        <f>IFERROR(__xludf.DUMMYFUNCTION("GOOGLETRANSLATE(J603,""he"",""en"")"),"Natural symphony 5%")</f>
        <v>Natural symphony 5%</v>
      </c>
      <c r="L603" s="104" t="s">
        <v>4543</v>
      </c>
      <c r="M603" s="105" t="s">
        <v>6600</v>
      </c>
      <c r="N603" s="108" t="s">
        <v>6602</v>
      </c>
      <c r="O603" s="109"/>
      <c r="P603" s="109"/>
      <c r="Q603" s="115" t="s">
        <v>4542</v>
      </c>
      <c r="R603" s="116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13"/>
      <c r="AD603" s="113"/>
      <c r="AE603" s="113"/>
    </row>
    <row r="604">
      <c r="A604" s="114">
        <v>7.29000664451E12</v>
      </c>
      <c r="B604" s="104" t="str">
        <f t="shared" si="1"/>
        <v>Tapozina_Tapozina grapes, 500 ml</v>
      </c>
      <c r="C604" s="105">
        <v>0.066</v>
      </c>
      <c r="D604" s="105">
        <v>0.196</v>
      </c>
      <c r="E604" s="105">
        <v>0.066</v>
      </c>
      <c r="F604" s="106">
        <f>ROUND('Meta data'!$B$1/E604,0)</f>
        <v>5</v>
      </c>
      <c r="G604" s="107"/>
      <c r="H604" s="105" t="s">
        <v>4653</v>
      </c>
      <c r="I604" s="119" t="s">
        <v>6603</v>
      </c>
      <c r="J604" s="105" t="s">
        <v>4655</v>
      </c>
      <c r="K604" s="119" t="s">
        <v>6604</v>
      </c>
      <c r="L604" s="104" t="s">
        <v>4659</v>
      </c>
      <c r="M604" s="105" t="s">
        <v>6351</v>
      </c>
      <c r="N604" s="108" t="s">
        <v>6352</v>
      </c>
      <c r="O604" s="109"/>
      <c r="P604" s="109"/>
      <c r="Q604" s="111" t="s">
        <v>4658</v>
      </c>
      <c r="R604" s="111"/>
      <c r="S604" s="118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13"/>
      <c r="AD604" s="113"/>
      <c r="AE604" s="113"/>
    </row>
    <row r="605">
      <c r="A605" s="114">
        <v>7.290006644527E12</v>
      </c>
      <c r="B605" s="104" t="str">
        <f t="shared" si="1"/>
        <v>Tapozina_Tapozina Strawberry Banana, 500 ml</v>
      </c>
      <c r="C605" s="105">
        <v>0.066</v>
      </c>
      <c r="D605" s="105">
        <v>0.196</v>
      </c>
      <c r="E605" s="105">
        <v>0.066</v>
      </c>
      <c r="F605" s="106">
        <f>ROUND('Meta data'!$B$1/E605,0)</f>
        <v>5</v>
      </c>
      <c r="G605" s="107"/>
      <c r="H605" s="105" t="s">
        <v>4653</v>
      </c>
      <c r="I605" s="119" t="s">
        <v>6603</v>
      </c>
      <c r="J605" s="105" t="s">
        <v>4673</v>
      </c>
      <c r="K605" s="119" t="s">
        <v>6605</v>
      </c>
      <c r="L605" s="104" t="s">
        <v>4677</v>
      </c>
      <c r="M605" s="105" t="s">
        <v>6351</v>
      </c>
      <c r="N605" s="108" t="s">
        <v>6352</v>
      </c>
      <c r="O605" s="109"/>
      <c r="P605" s="109"/>
      <c r="Q605" s="111" t="s">
        <v>4676</v>
      </c>
      <c r="R605" s="111"/>
      <c r="S605" s="118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13"/>
      <c r="AD605" s="113"/>
      <c r="AE605" s="113"/>
    </row>
    <row r="606">
      <c r="A606" s="114">
        <v>7.29000556468E12</v>
      </c>
      <c r="B606" s="104" t="str">
        <f t="shared" si="1"/>
        <v>Tapozina_Tapozina lemonade, 1.5 liter</v>
      </c>
      <c r="C606" s="105">
        <v>0.09</v>
      </c>
      <c r="D606" s="105">
        <v>0.316</v>
      </c>
      <c r="E606" s="105">
        <v>0.09</v>
      </c>
      <c r="F606" s="106">
        <f>ROUND('Meta data'!$B$1/E606,0)</f>
        <v>3</v>
      </c>
      <c r="G606" s="107"/>
      <c r="H606" s="105" t="s">
        <v>4653</v>
      </c>
      <c r="I606" s="119" t="s">
        <v>6603</v>
      </c>
      <c r="J606" s="105" t="s">
        <v>4661</v>
      </c>
      <c r="K606" s="119" t="s">
        <v>6606</v>
      </c>
      <c r="L606" s="104" t="s">
        <v>4665</v>
      </c>
      <c r="M606" s="105" t="s">
        <v>6351</v>
      </c>
      <c r="N606" s="108" t="s">
        <v>6428</v>
      </c>
      <c r="O606" s="109"/>
      <c r="P606" s="109"/>
      <c r="Q606" s="111" t="s">
        <v>4664</v>
      </c>
      <c r="R606" s="111"/>
      <c r="S606" s="118"/>
      <c r="T606" s="112"/>
      <c r="U606" s="102"/>
      <c r="V606" s="102"/>
      <c r="W606" s="102"/>
      <c r="X606" s="102"/>
      <c r="Y606" s="102"/>
      <c r="Z606" s="102"/>
      <c r="AA606" s="102"/>
      <c r="AB606" s="102"/>
      <c r="AC606" s="113"/>
      <c r="AD606" s="113"/>
      <c r="AE606" s="113"/>
    </row>
    <row r="607">
      <c r="A607" s="114">
        <v>7.290002663522E12</v>
      </c>
      <c r="B607" s="104" t="str">
        <f t="shared" si="1"/>
        <v>Tapozina_Tapozina oranges, 1.5 liter</v>
      </c>
      <c r="C607" s="105">
        <v>0.09</v>
      </c>
      <c r="D607" s="105">
        <v>0.316</v>
      </c>
      <c r="E607" s="105">
        <v>0.09</v>
      </c>
      <c r="F607" s="106">
        <f>ROUND('Meta data'!$B$1/E607,0)</f>
        <v>3</v>
      </c>
      <c r="G607" s="107"/>
      <c r="H607" s="105" t="s">
        <v>4653</v>
      </c>
      <c r="I607" s="119" t="s">
        <v>6603</v>
      </c>
      <c r="J607" s="105" t="s">
        <v>4667</v>
      </c>
      <c r="K607" s="119" t="s">
        <v>6607</v>
      </c>
      <c r="L607" s="104" t="s">
        <v>4671</v>
      </c>
      <c r="M607" s="105" t="s">
        <v>6351</v>
      </c>
      <c r="N607" s="108" t="s">
        <v>6428</v>
      </c>
      <c r="O607" s="109"/>
      <c r="P607" s="109"/>
      <c r="Q607" s="111" t="s">
        <v>4670</v>
      </c>
      <c r="R607" s="111"/>
      <c r="S607" s="112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13"/>
      <c r="AD607" s="113"/>
      <c r="AE607" s="113"/>
    </row>
    <row r="608">
      <c r="A608" s="114">
        <v>7.290106662025E12</v>
      </c>
      <c r="B608" s="104" t="str">
        <f t="shared" si="1"/>
        <v>Tapuchips_Potato chips flavored with salt and pepper 50g</v>
      </c>
      <c r="C608" s="105">
        <v>0.133</v>
      </c>
      <c r="D608" s="105">
        <v>0.18</v>
      </c>
      <c r="E608" s="105">
        <v>0.06</v>
      </c>
      <c r="F608" s="106">
        <f>ROUND('Meta data'!$B$1/E608,0)</f>
        <v>5</v>
      </c>
      <c r="G608" s="107"/>
      <c r="H608" s="105" t="s">
        <v>4561</v>
      </c>
      <c r="I608" s="119" t="s">
        <v>4562</v>
      </c>
      <c r="J608" s="105" t="s">
        <v>4573</v>
      </c>
      <c r="K608" s="105" t="str">
        <f>IFERROR(__xludf.DUMMYFUNCTION("GOOGLETRANSLATE(J608,""he"",""en"")"),"Potato chips flavored with salt and pepper 50g")</f>
        <v>Potato chips flavored with salt and pepper 50g</v>
      </c>
      <c r="L608" s="104" t="s">
        <v>4577</v>
      </c>
      <c r="M608" s="105" t="s">
        <v>6309</v>
      </c>
      <c r="N608" s="108" t="s">
        <v>6473</v>
      </c>
      <c r="O608" s="109"/>
      <c r="P608" s="109"/>
      <c r="Q608" s="115" t="s">
        <v>4576</v>
      </c>
      <c r="R608" s="116"/>
      <c r="S608" s="117"/>
      <c r="T608" s="117"/>
      <c r="U608" s="118"/>
      <c r="V608" s="117"/>
      <c r="W608" s="102"/>
      <c r="X608" s="102"/>
      <c r="Y608" s="102"/>
      <c r="Z608" s="102"/>
      <c r="AA608" s="102"/>
      <c r="AB608" s="102"/>
      <c r="AC608" s="113"/>
      <c r="AD608" s="113"/>
      <c r="AE608" s="113"/>
    </row>
    <row r="609">
      <c r="A609" s="114">
        <v>7.29010472253E12</v>
      </c>
      <c r="B609" s="104" t="str">
        <f t="shared" si="1"/>
        <v>Tapuchips_Onion cream flavored potato chips 200g</v>
      </c>
      <c r="C609" s="105">
        <v>0.1675</v>
      </c>
      <c r="D609" s="105">
        <v>0.3</v>
      </c>
      <c r="E609" s="105">
        <v>0.06</v>
      </c>
      <c r="F609" s="106">
        <f>ROUND('Meta data'!$B$1/E609,0)</f>
        <v>5</v>
      </c>
      <c r="G609" s="107"/>
      <c r="H609" s="105" t="s">
        <v>4561</v>
      </c>
      <c r="I609" s="119" t="s">
        <v>4562</v>
      </c>
      <c r="J609" s="105" t="s">
        <v>4563</v>
      </c>
      <c r="K609" s="105" t="str">
        <f>IFERROR(__xludf.DUMMYFUNCTION("GOOGLETRANSLATE(J609,""he"",""en"")"),"Onion cream flavored potato chips 200g")</f>
        <v>Onion cream flavored potato chips 200g</v>
      </c>
      <c r="L609" s="104" t="s">
        <v>4565</v>
      </c>
      <c r="M609" s="105" t="s">
        <v>6309</v>
      </c>
      <c r="N609" s="108" t="s">
        <v>6473</v>
      </c>
      <c r="O609" s="109"/>
      <c r="P609" s="109"/>
      <c r="Q609" s="115" t="s">
        <v>4566</v>
      </c>
      <c r="R609" s="116"/>
      <c r="S609" s="117"/>
      <c r="T609" s="118"/>
      <c r="U609" s="117"/>
      <c r="V609" s="102"/>
      <c r="W609" s="102"/>
      <c r="X609" s="102"/>
      <c r="Y609" s="102"/>
      <c r="Z609" s="102"/>
      <c r="AA609" s="102"/>
      <c r="AB609" s="102"/>
      <c r="AC609" s="113"/>
      <c r="AD609" s="113"/>
      <c r="AE609" s="113"/>
    </row>
    <row r="610">
      <c r="A610" s="114">
        <v>7.290112342195E12</v>
      </c>
      <c r="B610" s="104" t="str">
        <f t="shared" si="1"/>
        <v>Tapuchips_Tapuchips sticks, 200 g</v>
      </c>
      <c r="C610" s="105">
        <v>0.1675</v>
      </c>
      <c r="D610" s="105">
        <v>0.3</v>
      </c>
      <c r="E610" s="105">
        <v>0.06</v>
      </c>
      <c r="F610" s="106">
        <f>ROUND('Meta data'!$B$1/E610,0)</f>
        <v>5</v>
      </c>
      <c r="G610" s="107"/>
      <c r="H610" s="105" t="s">
        <v>4561</v>
      </c>
      <c r="I610" s="119" t="s">
        <v>4562</v>
      </c>
      <c r="J610" s="105" t="s">
        <v>4584</v>
      </c>
      <c r="K610" s="119" t="s">
        <v>6608</v>
      </c>
      <c r="L610" s="104" t="s">
        <v>4586</v>
      </c>
      <c r="M610" s="105" t="s">
        <v>6309</v>
      </c>
      <c r="N610" s="108" t="s">
        <v>6473</v>
      </c>
      <c r="O610" s="109"/>
      <c r="P610" s="109"/>
      <c r="Q610" s="111" t="s">
        <v>4587</v>
      </c>
      <c r="R610" s="111"/>
      <c r="S610" s="112"/>
      <c r="T610" s="118"/>
      <c r="U610" s="112"/>
      <c r="V610" s="102"/>
      <c r="W610" s="102"/>
      <c r="X610" s="102"/>
      <c r="Y610" s="102"/>
      <c r="Z610" s="102"/>
      <c r="AA610" s="102"/>
      <c r="AB610" s="102"/>
      <c r="AC610" s="113"/>
      <c r="AD610" s="113"/>
      <c r="AE610" s="113"/>
    </row>
    <row r="611">
      <c r="A611" s="114">
        <v>7.290107942355E12</v>
      </c>
      <c r="B611" s="104" t="str">
        <f t="shared" si="1"/>
        <v>Tapuchips_Tapuchips sticks, 60 g</v>
      </c>
      <c r="C611" s="105">
        <v>0.14</v>
      </c>
      <c r="D611" s="105">
        <v>0.175</v>
      </c>
      <c r="E611" s="105">
        <v>0.06</v>
      </c>
      <c r="F611" s="106">
        <f>ROUND('Meta data'!$B$1/E611,0)</f>
        <v>5</v>
      </c>
      <c r="G611" s="107"/>
      <c r="H611" s="105" t="s">
        <v>4561</v>
      </c>
      <c r="I611" s="119" t="s">
        <v>4562</v>
      </c>
      <c r="J611" s="105" t="s">
        <v>4589</v>
      </c>
      <c r="K611" s="119" t="s">
        <v>6609</v>
      </c>
      <c r="L611" s="104" t="s">
        <v>4593</v>
      </c>
      <c r="M611" s="105" t="s">
        <v>6309</v>
      </c>
      <c r="N611" s="108" t="s">
        <v>6473</v>
      </c>
      <c r="O611" s="109"/>
      <c r="P611" s="109"/>
      <c r="Q611" s="115" t="s">
        <v>4592</v>
      </c>
      <c r="R611" s="116"/>
      <c r="S611" s="124"/>
      <c r="T611" s="117"/>
      <c r="U611" s="117"/>
      <c r="V611" s="102"/>
      <c r="W611" s="102"/>
      <c r="X611" s="102"/>
      <c r="Y611" s="102"/>
      <c r="Z611" s="102"/>
      <c r="AA611" s="102"/>
      <c r="AB611" s="102"/>
      <c r="AC611" s="113"/>
      <c r="AD611" s="113"/>
      <c r="AE611" s="113"/>
    </row>
    <row r="612">
      <c r="A612" s="114">
        <v>7.290106524439E12</v>
      </c>
      <c r="B612" s="104" t="str">
        <f t="shared" si="1"/>
        <v>Tapuchips_Tapuchips Pops 60g</v>
      </c>
      <c r="C612" s="105">
        <v>0.133</v>
      </c>
      <c r="D612" s="105">
        <v>0.18</v>
      </c>
      <c r="E612" s="105">
        <v>0.06</v>
      </c>
      <c r="F612" s="106">
        <f>ROUND('Meta data'!$B$1/E612,0)</f>
        <v>5</v>
      </c>
      <c r="G612" s="107"/>
      <c r="H612" s="105" t="s">
        <v>4561</v>
      </c>
      <c r="I612" s="119" t="s">
        <v>4562</v>
      </c>
      <c r="J612" s="105" t="s">
        <v>4579</v>
      </c>
      <c r="K612" s="119" t="s">
        <v>6610</v>
      </c>
      <c r="L612" s="104" t="s">
        <v>4581</v>
      </c>
      <c r="M612" s="105" t="s">
        <v>6309</v>
      </c>
      <c r="N612" s="108" t="s">
        <v>6473</v>
      </c>
      <c r="O612" s="109"/>
      <c r="P612" s="109"/>
      <c r="Q612" s="115" t="s">
        <v>4582</v>
      </c>
      <c r="R612" s="116"/>
      <c r="S612" s="117"/>
      <c r="T612" s="117"/>
      <c r="U612" s="118"/>
      <c r="V612" s="102"/>
      <c r="W612" s="102"/>
      <c r="X612" s="102"/>
      <c r="Y612" s="102"/>
      <c r="Z612" s="102"/>
      <c r="AA612" s="102"/>
      <c r="AB612" s="102"/>
      <c r="AC612" s="113"/>
      <c r="AD612" s="113"/>
      <c r="AE612" s="113"/>
    </row>
    <row r="613">
      <c r="A613" s="114">
        <v>7.29010203033E12</v>
      </c>
      <c r="B613" s="104" t="str">
        <f t="shared" si="1"/>
        <v>Tapuchips_Potato chips crunchy Mexican flavor 200g</v>
      </c>
      <c r="C613" s="105">
        <v>0.1675</v>
      </c>
      <c r="D613" s="105">
        <v>0.3</v>
      </c>
      <c r="E613" s="105">
        <v>0.06</v>
      </c>
      <c r="F613" s="106">
        <f>ROUND('Meta data'!$B$1/E613,0)</f>
        <v>5</v>
      </c>
      <c r="G613" s="107"/>
      <c r="H613" s="105" t="s">
        <v>4561</v>
      </c>
      <c r="I613" s="119" t="s">
        <v>4562</v>
      </c>
      <c r="J613" s="105" t="s">
        <v>4568</v>
      </c>
      <c r="K613" s="105" t="s">
        <v>4569</v>
      </c>
      <c r="L613" s="104" t="s">
        <v>4570</v>
      </c>
      <c r="M613" s="105" t="s">
        <v>6309</v>
      </c>
      <c r="N613" s="108" t="s">
        <v>6473</v>
      </c>
      <c r="O613" s="109"/>
      <c r="P613" s="109"/>
      <c r="Q613" s="115" t="s">
        <v>4571</v>
      </c>
      <c r="R613" s="116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13"/>
      <c r="AD613" s="113"/>
      <c r="AE613" s="113"/>
    </row>
    <row r="614">
      <c r="A614" s="114">
        <v>7.290008753111E12</v>
      </c>
      <c r="B614" s="104" t="str">
        <f t="shared" si="1"/>
        <v>Tapuchips_Tapuchips</v>
      </c>
      <c r="C614" s="105">
        <v>0.133</v>
      </c>
      <c r="D614" s="105">
        <v>0.18</v>
      </c>
      <c r="E614" s="105">
        <v>0.06</v>
      </c>
      <c r="F614" s="106">
        <f>ROUND('Meta data'!$B$1/E614,0)</f>
        <v>5</v>
      </c>
      <c r="G614" s="107"/>
      <c r="H614" s="105" t="s">
        <v>4561</v>
      </c>
      <c r="I614" s="119" t="s">
        <v>4562</v>
      </c>
      <c r="J614" s="105" t="s">
        <v>4595</v>
      </c>
      <c r="K614" s="119" t="s">
        <v>4562</v>
      </c>
      <c r="L614" s="104" t="s">
        <v>4599</v>
      </c>
      <c r="M614" s="105" t="s">
        <v>6309</v>
      </c>
      <c r="N614" s="108" t="s">
        <v>6473</v>
      </c>
      <c r="O614" s="109"/>
      <c r="P614" s="109"/>
      <c r="Q614" s="115" t="s">
        <v>4598</v>
      </c>
      <c r="R614" s="116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13"/>
      <c r="AD614" s="113"/>
      <c r="AE614" s="113"/>
    </row>
    <row r="615">
      <c r="A615" s="114">
        <v>7.290112359018E12</v>
      </c>
      <c r="B615" s="104" t="str">
        <f t="shared" si="1"/>
        <v>Tapuchips_Tapuchips baked natural flavor 45 g</v>
      </c>
      <c r="C615" s="105">
        <v>0.13</v>
      </c>
      <c r="D615" s="105">
        <v>0.18</v>
      </c>
      <c r="E615" s="105">
        <v>0.043</v>
      </c>
      <c r="F615" s="106">
        <f>ROUND('Meta data'!$B$1/E615,0)</f>
        <v>7</v>
      </c>
      <c r="G615" s="107"/>
      <c r="H615" s="105" t="s">
        <v>4561</v>
      </c>
      <c r="I615" s="119" t="s">
        <v>4562</v>
      </c>
      <c r="J615" s="105" t="s">
        <v>4606</v>
      </c>
      <c r="K615" s="119" t="s">
        <v>6611</v>
      </c>
      <c r="L615" s="104" t="s">
        <v>4608</v>
      </c>
      <c r="M615" s="105" t="s">
        <v>6309</v>
      </c>
      <c r="N615" s="108" t="s">
        <v>6473</v>
      </c>
      <c r="O615" s="109"/>
      <c r="P615" s="109"/>
      <c r="Q615" s="115" t="s">
        <v>4609</v>
      </c>
      <c r="R615" s="115"/>
      <c r="S615" s="117"/>
      <c r="T615" s="117"/>
      <c r="U615" s="102"/>
      <c r="V615" s="102"/>
      <c r="W615" s="102"/>
      <c r="X615" s="102"/>
      <c r="Y615" s="102"/>
      <c r="Z615" s="102"/>
      <c r="AA615" s="102"/>
      <c r="AB615" s="102"/>
      <c r="AC615" s="113"/>
      <c r="AD615" s="113"/>
      <c r="AE615" s="113"/>
    </row>
    <row r="616">
      <c r="A616" s="114">
        <v>7.290110561918E12</v>
      </c>
      <c r="B616" s="104" t="str">
        <f t="shared" si="1"/>
        <v>Tapuchips_Tapuchips baked garlic yogurt and dill 45 g</v>
      </c>
      <c r="C616" s="105">
        <v>0.13</v>
      </c>
      <c r="D616" s="105">
        <v>0.18</v>
      </c>
      <c r="E616" s="105">
        <v>0.05</v>
      </c>
      <c r="F616" s="106">
        <f>ROUND('Meta data'!$B$1/E616,0)</f>
        <v>6</v>
      </c>
      <c r="G616" s="107"/>
      <c r="H616" s="105" t="s">
        <v>4561</v>
      </c>
      <c r="I616" s="119" t="s">
        <v>4562</v>
      </c>
      <c r="J616" s="105" t="s">
        <v>4601</v>
      </c>
      <c r="K616" s="119" t="s">
        <v>6612</v>
      </c>
      <c r="L616" s="104" t="s">
        <v>4603</v>
      </c>
      <c r="M616" s="105" t="s">
        <v>6309</v>
      </c>
      <c r="N616" s="108" t="s">
        <v>6473</v>
      </c>
      <c r="O616" s="109"/>
      <c r="P616" s="109"/>
      <c r="Q616" s="115" t="s">
        <v>4604</v>
      </c>
      <c r="R616" s="116"/>
      <c r="S616" s="117"/>
      <c r="T616" s="117"/>
      <c r="U616" s="118"/>
      <c r="V616" s="117"/>
      <c r="W616" s="102"/>
      <c r="X616" s="102"/>
      <c r="Y616" s="102"/>
      <c r="Z616" s="102"/>
      <c r="AA616" s="102"/>
      <c r="AB616" s="102"/>
      <c r="AC616" s="113"/>
      <c r="AD616" s="113"/>
      <c r="AE616" s="113"/>
    </row>
    <row r="617">
      <c r="A617" s="114">
        <v>7.290000178721E12</v>
      </c>
      <c r="B617" s="104" t="str">
        <f t="shared" si="1"/>
        <v>Tapuchips_Tapuchips natural 200g</v>
      </c>
      <c r="C617" s="105">
        <v>0.1675</v>
      </c>
      <c r="D617" s="105">
        <v>0.3</v>
      </c>
      <c r="E617" s="105">
        <v>0.06</v>
      </c>
      <c r="F617" s="106">
        <f>ROUND('Meta data'!$B$1/E617,0)</f>
        <v>5</v>
      </c>
      <c r="G617" s="107"/>
      <c r="H617" s="105" t="s">
        <v>4561</v>
      </c>
      <c r="I617" s="119" t="s">
        <v>4562</v>
      </c>
      <c r="J617" s="105" t="s">
        <v>4623</v>
      </c>
      <c r="K617" s="119" t="s">
        <v>6613</v>
      </c>
      <c r="L617" s="104" t="s">
        <v>4627</v>
      </c>
      <c r="M617" s="105" t="s">
        <v>6309</v>
      </c>
      <c r="N617" s="108" t="s">
        <v>6473</v>
      </c>
      <c r="O617" s="109"/>
      <c r="P617" s="109"/>
      <c r="Q617" s="115" t="s">
        <v>4626</v>
      </c>
      <c r="R617" s="116"/>
      <c r="S617" s="117"/>
      <c r="T617" s="117"/>
      <c r="U617" s="118"/>
      <c r="V617" s="102"/>
      <c r="W617" s="102"/>
      <c r="X617" s="102"/>
      <c r="Y617" s="102"/>
      <c r="Z617" s="102"/>
      <c r="AA617" s="102"/>
      <c r="AB617" s="102"/>
      <c r="AC617" s="113"/>
      <c r="AD617" s="113"/>
      <c r="AE617" s="113"/>
    </row>
    <row r="618">
      <c r="A618" s="114">
        <v>7.290000178707E12</v>
      </c>
      <c r="B618" s="104" t="str">
        <f t="shared" si="1"/>
        <v>Tapuchips_Tapuchips natural 50g</v>
      </c>
      <c r="C618" s="105">
        <v>0.133</v>
      </c>
      <c r="D618" s="105">
        <v>0.18</v>
      </c>
      <c r="E618" s="105">
        <v>0.06</v>
      </c>
      <c r="F618" s="106">
        <f>ROUND('Meta data'!$B$1/E618,0)</f>
        <v>5</v>
      </c>
      <c r="G618" s="107"/>
      <c r="H618" s="105" t="s">
        <v>4561</v>
      </c>
      <c r="I618" s="119" t="s">
        <v>4562</v>
      </c>
      <c r="J618" s="105" t="s">
        <v>4629</v>
      </c>
      <c r="K618" s="119" t="s">
        <v>6614</v>
      </c>
      <c r="L618" s="104" t="s">
        <v>4633</v>
      </c>
      <c r="M618" s="105" t="s">
        <v>6309</v>
      </c>
      <c r="N618" s="108" t="s">
        <v>6473</v>
      </c>
      <c r="O618" s="109"/>
      <c r="P618" s="109"/>
      <c r="Q618" s="115" t="s">
        <v>4632</v>
      </c>
      <c r="R618" s="116"/>
      <c r="S618" s="117"/>
      <c r="T618" s="102"/>
      <c r="U618" s="102"/>
      <c r="V618" s="102"/>
      <c r="W618" s="102"/>
      <c r="X618" s="102"/>
      <c r="Y618" s="102"/>
      <c r="Z618" s="102"/>
      <c r="AA618" s="102"/>
      <c r="AB618" s="102"/>
      <c r="AC618" s="113"/>
      <c r="AD618" s="113"/>
      <c r="AE618" s="113"/>
    </row>
    <row r="619">
      <c r="A619" s="114">
        <v>7.29011567699E12</v>
      </c>
      <c r="B619" s="104" t="str">
        <f t="shared" si="1"/>
        <v>Tapuchips_Tapuchips salt and vinegar 50g</v>
      </c>
      <c r="C619" s="105">
        <v>0.14</v>
      </c>
      <c r="D619" s="105">
        <v>0.175</v>
      </c>
      <c r="E619" s="105">
        <v>0.045</v>
      </c>
      <c r="F619" s="106">
        <f>ROUND('Meta data'!$B$1/E619,0)</f>
        <v>7</v>
      </c>
      <c r="G619" s="107"/>
      <c r="H619" s="105" t="s">
        <v>4561</v>
      </c>
      <c r="I619" s="119" t="s">
        <v>4562</v>
      </c>
      <c r="J619" s="105" t="s">
        <v>4647</v>
      </c>
      <c r="K619" s="119" t="s">
        <v>6615</v>
      </c>
      <c r="L619" s="104" t="s">
        <v>4651</v>
      </c>
      <c r="M619" s="105" t="s">
        <v>6309</v>
      </c>
      <c r="N619" s="108" t="s">
        <v>6473</v>
      </c>
      <c r="O619" s="109"/>
      <c r="P619" s="109"/>
      <c r="Q619" s="115" t="s">
        <v>4650</v>
      </c>
      <c r="R619" s="116"/>
      <c r="S619" s="117"/>
      <c r="T619" s="117"/>
      <c r="U619" s="118"/>
      <c r="V619" s="117"/>
      <c r="W619" s="102"/>
      <c r="X619" s="102"/>
      <c r="Y619" s="102"/>
      <c r="Z619" s="102"/>
      <c r="AA619" s="102"/>
      <c r="AB619" s="102"/>
      <c r="AC619" s="113"/>
      <c r="AD619" s="113"/>
      <c r="AE619" s="113"/>
    </row>
    <row r="620">
      <c r="A620" s="114">
        <v>7.290008752244E12</v>
      </c>
      <c r="B620" s="104" t="str">
        <f t="shared" si="1"/>
        <v>Tapuchips_Tapuchips Grill Crunch 50 g</v>
      </c>
      <c r="C620" s="105">
        <v>0.133</v>
      </c>
      <c r="D620" s="105">
        <v>0.18</v>
      </c>
      <c r="E620" s="105">
        <v>0.06</v>
      </c>
      <c r="F620" s="106">
        <f>ROUND('Meta data'!$B$1/E620,0)</f>
        <v>5</v>
      </c>
      <c r="G620" s="107"/>
      <c r="H620" s="105" t="s">
        <v>4561</v>
      </c>
      <c r="I620" s="119" t="s">
        <v>4562</v>
      </c>
      <c r="J620" s="105" t="s">
        <v>4617</v>
      </c>
      <c r="K620" s="119" t="s">
        <v>6616</v>
      </c>
      <c r="L620" s="104" t="s">
        <v>4621</v>
      </c>
      <c r="M620" s="105" t="s">
        <v>6309</v>
      </c>
      <c r="N620" s="108" t="s">
        <v>6473</v>
      </c>
      <c r="O620" s="109"/>
      <c r="P620" s="109"/>
      <c r="Q620" s="115" t="s">
        <v>4620</v>
      </c>
      <c r="R620" s="116"/>
      <c r="S620" s="117"/>
      <c r="T620" s="117"/>
      <c r="U620" s="118"/>
      <c r="V620" s="117"/>
      <c r="W620" s="102"/>
      <c r="X620" s="102"/>
      <c r="Y620" s="102"/>
      <c r="Z620" s="102"/>
      <c r="AA620" s="102"/>
      <c r="AB620" s="102"/>
      <c r="AC620" s="113"/>
      <c r="AD620" s="113"/>
      <c r="AE620" s="113"/>
    </row>
    <row r="621">
      <c r="A621" s="114">
        <v>7.290008747547E12</v>
      </c>
      <c r="B621" s="104" t="str">
        <f t="shared" si="1"/>
        <v>Tapuchips_Tapuchips natural Crunch 200 g</v>
      </c>
      <c r="C621" s="105">
        <v>0.1675</v>
      </c>
      <c r="D621" s="105">
        <v>0.3</v>
      </c>
      <c r="E621" s="105">
        <v>0.06</v>
      </c>
      <c r="F621" s="106">
        <f>ROUND('Meta data'!$B$1/E621,0)</f>
        <v>5</v>
      </c>
      <c r="G621" s="107"/>
      <c r="H621" s="105" t="s">
        <v>4561</v>
      </c>
      <c r="I621" s="119" t="s">
        <v>4562</v>
      </c>
      <c r="J621" s="105" t="s">
        <v>4635</v>
      </c>
      <c r="K621" s="119" t="s">
        <v>6617</v>
      </c>
      <c r="L621" s="104" t="s">
        <v>4639</v>
      </c>
      <c r="M621" s="105" t="s">
        <v>6309</v>
      </c>
      <c r="N621" s="108" t="s">
        <v>6473</v>
      </c>
      <c r="O621" s="109"/>
      <c r="P621" s="109"/>
      <c r="Q621" s="115" t="s">
        <v>4638</v>
      </c>
      <c r="R621" s="116"/>
      <c r="S621" s="117"/>
      <c r="T621" s="117"/>
      <c r="U621" s="118"/>
      <c r="V621" s="102"/>
      <c r="W621" s="102"/>
      <c r="X621" s="102"/>
      <c r="Y621" s="102"/>
      <c r="Z621" s="102"/>
      <c r="AA621" s="102"/>
      <c r="AB621" s="102"/>
      <c r="AC621" s="113"/>
      <c r="AD621" s="113"/>
      <c r="AE621" s="113"/>
    </row>
    <row r="622">
      <c r="A622" s="114">
        <v>7.290008745239E12</v>
      </c>
      <c r="B622" s="104" t="str">
        <f t="shared" si="1"/>
        <v>Tapuchips_Tapuchips natural Crunch 50 g</v>
      </c>
      <c r="C622" s="105">
        <v>0.133</v>
      </c>
      <c r="D622" s="105">
        <v>0.18</v>
      </c>
      <c r="E622" s="105">
        <v>0.06</v>
      </c>
      <c r="F622" s="106">
        <f>ROUND('Meta data'!$B$1/E622,0)</f>
        <v>5</v>
      </c>
      <c r="G622" s="107"/>
      <c r="H622" s="105" t="s">
        <v>4561</v>
      </c>
      <c r="I622" s="119" t="s">
        <v>4562</v>
      </c>
      <c r="J622" s="105" t="s">
        <v>4641</v>
      </c>
      <c r="K622" s="119" t="s">
        <v>6618</v>
      </c>
      <c r="L622" s="104" t="s">
        <v>4645</v>
      </c>
      <c r="M622" s="105" t="s">
        <v>6309</v>
      </c>
      <c r="N622" s="108" t="s">
        <v>6473</v>
      </c>
      <c r="O622" s="109"/>
      <c r="P622" s="109"/>
      <c r="Q622" s="115" t="s">
        <v>4644</v>
      </c>
      <c r="R622" s="116"/>
      <c r="S622" s="117"/>
      <c r="T622" s="117"/>
      <c r="U622" s="117"/>
      <c r="V622" s="118"/>
      <c r="W622" s="102"/>
      <c r="X622" s="102"/>
      <c r="Y622" s="102"/>
      <c r="Z622" s="102"/>
      <c r="AA622" s="102"/>
      <c r="AB622" s="102"/>
      <c r="AC622" s="113"/>
      <c r="AD622" s="113"/>
      <c r="AE622" s="113"/>
    </row>
    <row r="623">
      <c r="A623" s="114">
        <v>7.290005200786E12</v>
      </c>
      <c r="B623" s="104" t="str">
        <f t="shared" si="1"/>
        <v>Tapuchips_Tapuchips cream and onion 50 g</v>
      </c>
      <c r="C623" s="105">
        <v>0.133</v>
      </c>
      <c r="D623" s="105">
        <v>0.18</v>
      </c>
      <c r="E623" s="105">
        <v>0.06</v>
      </c>
      <c r="F623" s="106">
        <f>ROUND('Meta data'!$B$1/E623,0)</f>
        <v>5</v>
      </c>
      <c r="G623" s="107"/>
      <c r="H623" s="105" t="s">
        <v>4561</v>
      </c>
      <c r="I623" s="119" t="s">
        <v>4562</v>
      </c>
      <c r="J623" s="105" t="s">
        <v>4611</v>
      </c>
      <c r="K623" s="119" t="s">
        <v>6619</v>
      </c>
      <c r="L623" s="104" t="s">
        <v>4615</v>
      </c>
      <c r="M623" s="105" t="s">
        <v>6309</v>
      </c>
      <c r="N623" s="108" t="s">
        <v>6473</v>
      </c>
      <c r="O623" s="109"/>
      <c r="P623" s="109"/>
      <c r="Q623" s="115" t="s">
        <v>4614</v>
      </c>
      <c r="R623" s="116"/>
      <c r="S623" s="117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13"/>
      <c r="AD623" s="113"/>
      <c r="AE623" s="113"/>
    </row>
    <row r="624">
      <c r="A624" s="114">
        <v>7.290008464611E12</v>
      </c>
      <c r="B624" s="104" t="str">
        <f t="shared" si="1"/>
        <v>tempo_Tempo bottle of mineral water, 275 ml</v>
      </c>
      <c r="C624" s="105">
        <v>0.06</v>
      </c>
      <c r="D624" s="105">
        <v>0.197</v>
      </c>
      <c r="E624" s="105">
        <v>0.06</v>
      </c>
      <c r="F624" s="106">
        <f>ROUND('Meta data'!$B$1/E624,0)</f>
        <v>5</v>
      </c>
      <c r="G624" s="107"/>
      <c r="H624" s="105" t="s">
        <v>4679</v>
      </c>
      <c r="I624" s="105" t="str">
        <f>IFERROR(__xludf.DUMMYFUNCTION("GOOGLETRANSLATE(H624,""he"",""en"")"),"tempo")</f>
        <v>tempo</v>
      </c>
      <c r="J624" s="105" t="s">
        <v>4694</v>
      </c>
      <c r="K624" s="105" t="str">
        <f>IFERROR(__xludf.DUMMYFUNCTION("GOOGLETRANSLATE(J624,""he"",""en"")"),"Tempo bottle of mineral water, 275 ml")</f>
        <v>Tempo bottle of mineral water, 275 ml</v>
      </c>
      <c r="L624" s="104" t="s">
        <v>4698</v>
      </c>
      <c r="M624" s="105" t="s">
        <v>2158</v>
      </c>
      <c r="N624" s="108" t="s">
        <v>6465</v>
      </c>
      <c r="O624" s="109"/>
      <c r="P624" s="109"/>
      <c r="Q624" s="115" t="s">
        <v>4697</v>
      </c>
      <c r="R624" s="115"/>
      <c r="S624" s="117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13"/>
      <c r="AD624" s="113"/>
      <c r="AE624" s="113"/>
    </row>
    <row r="625">
      <c r="A625" s="114">
        <v>7.290000135151E12</v>
      </c>
      <c r="B625" s="104" t="str">
        <f t="shared" si="1"/>
        <v>tempo_Lemon Soda 275 ml touches</v>
      </c>
      <c r="C625" s="105">
        <v>0.06</v>
      </c>
      <c r="D625" s="105">
        <v>0.197</v>
      </c>
      <c r="E625" s="105">
        <v>0.06</v>
      </c>
      <c r="F625" s="106">
        <f>ROUND('Meta data'!$B$1/E625,0)</f>
        <v>5</v>
      </c>
      <c r="G625" s="107"/>
      <c r="H625" s="105" t="s">
        <v>4679</v>
      </c>
      <c r="I625" s="105" t="str">
        <f>IFERROR(__xludf.DUMMYFUNCTION("GOOGLETRANSLATE(H625,""he"",""en"")"),"tempo")</f>
        <v>tempo</v>
      </c>
      <c r="J625" s="105" t="s">
        <v>4687</v>
      </c>
      <c r="K625" s="105" t="str">
        <f>IFERROR(__xludf.DUMMYFUNCTION("GOOGLETRANSLATE(J625,""he"",""en"")"),"Lemon Soda 275 ml touches")</f>
        <v>Lemon Soda 275 ml touches</v>
      </c>
      <c r="L625" s="104" t="s">
        <v>4691</v>
      </c>
      <c r="M625" s="105" t="s">
        <v>2158</v>
      </c>
      <c r="N625" s="108" t="s">
        <v>6465</v>
      </c>
      <c r="O625" s="109"/>
      <c r="P625" s="109"/>
      <c r="Q625" s="115" t="s">
        <v>4690</v>
      </c>
      <c r="R625" s="116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13"/>
      <c r="AD625" s="113"/>
      <c r="AE625" s="113"/>
    </row>
    <row r="626">
      <c r="A626" s="114">
        <v>7.290000327624E12</v>
      </c>
      <c r="B626" s="104" t="str">
        <f t="shared" si="1"/>
        <v>tempo_1.5-liter soda</v>
      </c>
      <c r="C626" s="105">
        <v>0.098</v>
      </c>
      <c r="D626" s="105">
        <v>0.335</v>
      </c>
      <c r="E626" s="105">
        <v>0.098</v>
      </c>
      <c r="F626" s="106">
        <f>ROUND('Meta data'!$B$1/E626,0)</f>
        <v>3</v>
      </c>
      <c r="G626" s="107"/>
      <c r="H626" s="105" t="s">
        <v>4679</v>
      </c>
      <c r="I626" s="105" t="str">
        <f>IFERROR(__xludf.DUMMYFUNCTION("GOOGLETRANSLATE(H626,""he"",""en"")"),"tempo")</f>
        <v>tempo</v>
      </c>
      <c r="J626" s="105" t="s">
        <v>4681</v>
      </c>
      <c r="K626" s="105" t="str">
        <f>IFERROR(__xludf.DUMMYFUNCTION("GOOGLETRANSLATE(J626,""he"",""en"")"),"1.5-liter soda")</f>
        <v>1.5-liter soda</v>
      </c>
      <c r="L626" s="104" t="s">
        <v>4685</v>
      </c>
      <c r="M626" s="105" t="s">
        <v>2158</v>
      </c>
      <c r="N626" s="108" t="s">
        <v>6466</v>
      </c>
      <c r="O626" s="109"/>
      <c r="P626" s="109"/>
      <c r="Q626" s="111" t="s">
        <v>4684</v>
      </c>
      <c r="R626" s="116"/>
      <c r="S626" s="117"/>
      <c r="T626" s="117"/>
      <c r="U626" s="117"/>
      <c r="V626" s="118"/>
      <c r="W626" s="117" t="s">
        <v>6620</v>
      </c>
      <c r="X626" s="102"/>
      <c r="Y626" s="102"/>
      <c r="Z626" s="102"/>
      <c r="AA626" s="102"/>
      <c r="AB626" s="102"/>
      <c r="AC626" s="113"/>
      <c r="AD626" s="113"/>
      <c r="AE626" s="113"/>
    </row>
    <row r="627">
      <c r="A627" s="114">
        <v>8.9079310036E12</v>
      </c>
      <c r="B627" s="104" t="str">
        <f t="shared" si="1"/>
        <v>Tara_Tara sweet potatoes with sea salt 30g</v>
      </c>
      <c r="C627" s="105">
        <v>0.13</v>
      </c>
      <c r="D627" s="105">
        <v>0.19</v>
      </c>
      <c r="E627" s="105">
        <v>0.05</v>
      </c>
      <c r="F627" s="106">
        <f>ROUND('Meta data'!$B$1/E627,0)</f>
        <v>6</v>
      </c>
      <c r="G627" s="107"/>
      <c r="H627" s="105" t="s">
        <v>4700</v>
      </c>
      <c r="I627" s="119" t="s">
        <v>6621</v>
      </c>
      <c r="J627" s="105" t="s">
        <v>4702</v>
      </c>
      <c r="K627" s="105" t="str">
        <f>IFERROR(__xludf.DUMMYFUNCTION("GOOGLETRANSLATE(J627,""he"",""en"")"),"Tara sweet potatoes with sea salt 30g")</f>
        <v>Tara sweet potatoes with sea salt 30g</v>
      </c>
      <c r="L627" s="104" t="s">
        <v>4706</v>
      </c>
      <c r="M627" s="105" t="s">
        <v>6309</v>
      </c>
      <c r="N627" s="108" t="s">
        <v>6473</v>
      </c>
      <c r="O627" s="109"/>
      <c r="P627" s="109"/>
      <c r="Q627" s="115" t="s">
        <v>4705</v>
      </c>
      <c r="R627" s="116"/>
      <c r="S627" s="117"/>
      <c r="T627" s="118"/>
      <c r="U627" s="117"/>
      <c r="V627" s="102"/>
      <c r="W627" s="102"/>
      <c r="X627" s="102"/>
      <c r="Y627" s="102"/>
      <c r="Z627" s="102"/>
      <c r="AA627" s="102"/>
      <c r="AB627" s="102"/>
      <c r="AC627" s="113"/>
      <c r="AD627" s="113"/>
      <c r="AE627" s="113"/>
    </row>
    <row r="628">
      <c r="A628" s="114">
        <v>7.290000072753E12</v>
      </c>
      <c r="B628" s="104" t="str">
        <f t="shared" si="1"/>
        <v>Tester's-Choice_Tstr's Choice instant coffee 200g</v>
      </c>
      <c r="C628" s="105">
        <v>0.09999999</v>
      </c>
      <c r="D628" s="105">
        <v>0.154</v>
      </c>
      <c r="E628" s="105">
        <v>0.087</v>
      </c>
      <c r="F628" s="106">
        <f>ROUND('Meta data'!$B$1/E628,0)</f>
        <v>3</v>
      </c>
      <c r="G628" s="107"/>
      <c r="H628" s="105" t="s">
        <v>4708</v>
      </c>
      <c r="I628" s="105" t="str">
        <f>IFERROR(__xludf.DUMMYFUNCTION("GOOGLETRANSLATE(H628,""he"",""en"")"),"Tester's Choice")</f>
        <v>Tester's Choice</v>
      </c>
      <c r="J628" s="105" t="s">
        <v>4710</v>
      </c>
      <c r="K628" s="105" t="str">
        <f>IFERROR(__xludf.DUMMYFUNCTION("GOOGLETRANSLATE(J628,""he"",""en"")"),"Tstr's Choice instant coffee 200g")</f>
        <v>Tstr's Choice instant coffee 200g</v>
      </c>
      <c r="L628" s="104" t="s">
        <v>4714</v>
      </c>
      <c r="M628" s="105" t="s">
        <v>6396</v>
      </c>
      <c r="N628" s="108" t="s">
        <v>6397</v>
      </c>
      <c r="O628" s="109"/>
      <c r="P628" s="109"/>
      <c r="Q628" s="111" t="s">
        <v>4713</v>
      </c>
      <c r="R628" s="115"/>
      <c r="S628" s="112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13"/>
      <c r="AD628" s="113"/>
      <c r="AE628" s="113"/>
    </row>
    <row r="629">
      <c r="A629" s="114">
        <v>43814.0</v>
      </c>
      <c r="B629" s="104" t="str">
        <f t="shared" si="1"/>
        <v>The-white-chef_Chef White Cream 38% fat 250 ml</v>
      </c>
      <c r="C629" s="105">
        <v>0.07</v>
      </c>
      <c r="D629" s="105">
        <v>0.09</v>
      </c>
      <c r="E629" s="105">
        <v>0.07</v>
      </c>
      <c r="F629" s="106">
        <f>ROUND('Meta data'!$B$1/E629,0)</f>
        <v>4</v>
      </c>
      <c r="G629" s="107"/>
      <c r="H629" s="105" t="s">
        <v>1778</v>
      </c>
      <c r="I629" s="105" t="str">
        <f>IFERROR(__xludf.DUMMYFUNCTION("GOOGLETRANSLATE(H629,""he"",""en"")"),"The white chef")</f>
        <v>The white chef</v>
      </c>
      <c r="J629" s="105" t="s">
        <v>1780</v>
      </c>
      <c r="K629" s="105" t="str">
        <f>IFERROR(__xludf.DUMMYFUNCTION("GOOGLETRANSLATE(J629,""he"",""en"")"),"Chef White Cream 38% fat 250 ml")</f>
        <v>Chef White Cream 38% fat 250 ml</v>
      </c>
      <c r="L629" s="104" t="s">
        <v>1786</v>
      </c>
      <c r="M629" s="105" t="s">
        <v>6622</v>
      </c>
      <c r="N629" s="108" t="s">
        <v>6623</v>
      </c>
      <c r="O629" s="109"/>
      <c r="P629" s="109"/>
      <c r="Q629" s="115" t="s">
        <v>1785</v>
      </c>
      <c r="R629" s="116"/>
      <c r="S629" s="118"/>
      <c r="T629" s="117"/>
      <c r="U629" s="124"/>
      <c r="V629" s="117"/>
      <c r="W629" s="102"/>
      <c r="X629" s="102"/>
      <c r="Y629" s="102"/>
      <c r="Z629" s="102"/>
      <c r="AA629" s="102"/>
      <c r="AB629" s="102"/>
      <c r="AC629" s="113"/>
      <c r="AD629" s="113"/>
      <c r="AE629" s="113"/>
    </row>
    <row r="630">
      <c r="A630" s="114">
        <v>9.310072028743E12</v>
      </c>
      <c r="B630" s="104" t="str">
        <f t="shared" si="1"/>
        <v>Tim-Tam_Tim Tam Original 200g</v>
      </c>
      <c r="C630" s="105">
        <v>0.24</v>
      </c>
      <c r="D630" s="105">
        <v>0.075</v>
      </c>
      <c r="E630" s="105">
        <v>0.035</v>
      </c>
      <c r="F630" s="106">
        <f>ROUND('Meta data'!$B$1/E630,0)</f>
        <v>9</v>
      </c>
      <c r="G630" s="107"/>
      <c r="H630" s="105" t="s">
        <v>4731</v>
      </c>
      <c r="I630" s="105" t="str">
        <f>IFERROR(__xludf.DUMMYFUNCTION("GOOGLETRANSLATE(H630,""he"",""en"")"),"Tim Tam")</f>
        <v>Tim Tam</v>
      </c>
      <c r="J630" s="105" t="s">
        <v>4740</v>
      </c>
      <c r="K630" s="105" t="str">
        <f>IFERROR(__xludf.DUMMYFUNCTION("GOOGLETRANSLATE(J630,""he"",""en"")"),"Tim Tam Original 200g")</f>
        <v>Tim Tam Original 200g</v>
      </c>
      <c r="L630" s="104" t="s">
        <v>4744</v>
      </c>
      <c r="M630" s="105" t="s">
        <v>6304</v>
      </c>
      <c r="N630" s="108" t="s">
        <v>6305</v>
      </c>
      <c r="O630" s="109"/>
      <c r="P630" s="109"/>
      <c r="Q630" s="115" t="s">
        <v>4743</v>
      </c>
      <c r="R630" s="111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2"/>
      <c r="AC630" s="113"/>
      <c r="AD630" s="113"/>
      <c r="AE630" s="113"/>
    </row>
    <row r="631">
      <c r="A631" s="114">
        <v>9.31007202875E12</v>
      </c>
      <c r="B631" s="104" t="str">
        <f t="shared" si="1"/>
        <v>Tim-Tam_Tim Tam Double 200g</v>
      </c>
      <c r="C631" s="105">
        <v>0.24</v>
      </c>
      <c r="D631" s="105">
        <v>0.075</v>
      </c>
      <c r="E631" s="105">
        <v>0.035</v>
      </c>
      <c r="F631" s="106">
        <f>ROUND('Meta data'!$B$1/E631,0)</f>
        <v>9</v>
      </c>
      <c r="G631" s="107"/>
      <c r="H631" s="105" t="s">
        <v>4731</v>
      </c>
      <c r="I631" s="105" t="str">
        <f>IFERROR(__xludf.DUMMYFUNCTION("GOOGLETRANSLATE(H631,""he"",""en"")"),"Tim Tam")</f>
        <v>Tim Tam</v>
      </c>
      <c r="J631" s="105" t="s">
        <v>4733</v>
      </c>
      <c r="K631" s="105" t="str">
        <f>IFERROR(__xludf.DUMMYFUNCTION("GOOGLETRANSLATE(J631,""he"",""en"")"),"Tim Tam Double 200g")</f>
        <v>Tim Tam Double 200g</v>
      </c>
      <c r="L631" s="104" t="s">
        <v>4737</v>
      </c>
      <c r="M631" s="105" t="s">
        <v>6304</v>
      </c>
      <c r="N631" s="108" t="s">
        <v>6305</v>
      </c>
      <c r="O631" s="109"/>
      <c r="P631" s="109"/>
      <c r="Q631" s="115" t="s">
        <v>4736</v>
      </c>
      <c r="R631" s="115"/>
      <c r="S631" s="117"/>
      <c r="T631" s="102"/>
      <c r="U631" s="102"/>
      <c r="V631" s="102"/>
      <c r="W631" s="102"/>
      <c r="X631" s="102"/>
      <c r="Y631" s="102"/>
      <c r="Z631" s="102"/>
      <c r="AA631" s="102"/>
      <c r="AB631" s="102"/>
      <c r="AC631" s="113"/>
      <c r="AD631" s="113"/>
      <c r="AE631" s="113"/>
    </row>
    <row r="632">
      <c r="A632" s="114">
        <v>48185.0</v>
      </c>
      <c r="B632" s="104" t="str">
        <f t="shared" si="1"/>
        <v>Tnuva_5% cream cheese 250g Mehadrin</v>
      </c>
      <c r="C632" s="105">
        <v>0.09</v>
      </c>
      <c r="D632" s="105">
        <v>0.09</v>
      </c>
      <c r="E632" s="105">
        <v>0.08</v>
      </c>
      <c r="F632" s="106">
        <f>ROUND('Meta data'!$B$1/E632,0)</f>
        <v>4</v>
      </c>
      <c r="G632" s="107"/>
      <c r="H632" s="105" t="s">
        <v>57</v>
      </c>
      <c r="I632" s="119" t="s">
        <v>6624</v>
      </c>
      <c r="J632" s="105" t="s">
        <v>4881</v>
      </c>
      <c r="K632" s="105" t="s">
        <v>4882</v>
      </c>
      <c r="L632" s="104" t="s">
        <v>4885</v>
      </c>
      <c r="M632" s="105" t="s">
        <v>6594</v>
      </c>
      <c r="N632" s="108" t="s">
        <v>6595</v>
      </c>
      <c r="O632" s="109"/>
      <c r="P632" s="109"/>
      <c r="Q632" s="115" t="s">
        <v>4884</v>
      </c>
      <c r="R632" s="116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13"/>
      <c r="AD632" s="113"/>
      <c r="AE632" s="113"/>
    </row>
    <row r="633">
      <c r="A633" s="114">
        <v>42442.0</v>
      </c>
      <c r="B633" s="104" t="str">
        <f t="shared" si="1"/>
        <v>Tnuva_Fresh milk Tnuva 3%</v>
      </c>
      <c r="C633" s="105">
        <v>0.075</v>
      </c>
      <c r="D633" s="105">
        <v>0.232</v>
      </c>
      <c r="E633" s="105">
        <v>0.07</v>
      </c>
      <c r="F633" s="106">
        <f>ROUND('Meta data'!$B$1/E633,0)</f>
        <v>4</v>
      </c>
      <c r="G633" s="107"/>
      <c r="H633" s="105" t="s">
        <v>57</v>
      </c>
      <c r="I633" s="119" t="s">
        <v>6624</v>
      </c>
      <c r="J633" s="105" t="s">
        <v>2797</v>
      </c>
      <c r="K633" s="119" t="s">
        <v>6625</v>
      </c>
      <c r="L633" s="104" t="s">
        <v>2801</v>
      </c>
      <c r="M633" s="105" t="s">
        <v>6626</v>
      </c>
      <c r="N633" s="108" t="s">
        <v>6627</v>
      </c>
      <c r="O633" s="109"/>
      <c r="P633" s="109"/>
      <c r="Q633" s="115" t="s">
        <v>2800</v>
      </c>
      <c r="R633" s="116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13"/>
      <c r="AD633" s="113"/>
      <c r="AE633" s="113"/>
    </row>
    <row r="634">
      <c r="A634" s="114">
        <v>42435.0</v>
      </c>
      <c r="B634" s="104" t="str">
        <f t="shared" si="1"/>
        <v>Tnuva_Tnuva fresh milk 1% fat</v>
      </c>
      <c r="C634" s="105">
        <v>0.075</v>
      </c>
      <c r="D634" s="105">
        <v>0.232</v>
      </c>
      <c r="E634" s="105">
        <v>0.07</v>
      </c>
      <c r="F634" s="106">
        <f>ROUND('Meta data'!$B$1/E634,0)</f>
        <v>4</v>
      </c>
      <c r="G634" s="107"/>
      <c r="H634" s="105" t="s">
        <v>57</v>
      </c>
      <c r="I634" s="119" t="s">
        <v>6624</v>
      </c>
      <c r="J634" s="105" t="s">
        <v>2782</v>
      </c>
      <c r="K634" s="105" t="s">
        <v>2783</v>
      </c>
      <c r="L634" s="104" t="s">
        <v>2787</v>
      </c>
      <c r="M634" s="105" t="s">
        <v>6626</v>
      </c>
      <c r="N634" s="108" t="s">
        <v>6627</v>
      </c>
      <c r="O634" s="109"/>
      <c r="P634" s="109"/>
      <c r="Q634" s="115" t="s">
        <v>2786</v>
      </c>
      <c r="R634" s="116"/>
      <c r="S634" s="118"/>
      <c r="T634" s="117"/>
      <c r="U634" s="102"/>
      <c r="V634" s="102"/>
      <c r="W634" s="102"/>
      <c r="X634" s="102"/>
      <c r="Y634" s="102"/>
      <c r="Z634" s="102"/>
      <c r="AA634" s="102"/>
      <c r="AB634" s="102"/>
      <c r="AC634" s="113"/>
      <c r="AD634" s="113"/>
      <c r="AE634" s="113"/>
    </row>
    <row r="635">
      <c r="A635" s="114">
        <v>4132231.0</v>
      </c>
      <c r="B635" s="104" t="str">
        <f t="shared" si="1"/>
        <v>Tnuva_Plus coffee milk carton 3.5% 800 ml</v>
      </c>
      <c r="C635" s="105">
        <v>0.08</v>
      </c>
      <c r="D635" s="105">
        <v>0.232</v>
      </c>
      <c r="E635" s="105">
        <v>0.075</v>
      </c>
      <c r="F635" s="106">
        <f>ROUND('Meta data'!$B$1/E635,0)</f>
        <v>4</v>
      </c>
      <c r="G635" s="107"/>
      <c r="H635" s="105" t="s">
        <v>57</v>
      </c>
      <c r="I635" s="119" t="s">
        <v>6624</v>
      </c>
      <c r="J635" s="105" t="s">
        <v>904</v>
      </c>
      <c r="K635" s="105" t="s">
        <v>905</v>
      </c>
      <c r="L635" s="104" t="s">
        <v>910</v>
      </c>
      <c r="M635" s="105" t="s">
        <v>6626</v>
      </c>
      <c r="N635" s="108" t="s">
        <v>6628</v>
      </c>
      <c r="O635" s="109"/>
      <c r="P635" s="109"/>
      <c r="Q635" s="115" t="s">
        <v>909</v>
      </c>
      <c r="R635" s="116"/>
      <c r="S635" s="118"/>
      <c r="T635" s="117"/>
      <c r="U635" s="102"/>
      <c r="V635" s="102"/>
      <c r="W635" s="102"/>
      <c r="X635" s="102"/>
      <c r="Y635" s="102"/>
      <c r="Z635" s="102"/>
      <c r="AA635" s="102"/>
      <c r="AB635" s="102"/>
      <c r="AC635" s="113"/>
      <c r="AD635" s="113"/>
      <c r="AE635" s="113"/>
    </row>
    <row r="636">
      <c r="A636" s="114">
        <v>7.2963104E7</v>
      </c>
      <c r="B636" s="104" t="str">
        <f t="shared" si="1"/>
        <v>Tnuva_Tnuva butter 100g</v>
      </c>
      <c r="C636" s="105">
        <v>0.09</v>
      </c>
      <c r="D636" s="105">
        <v>0.053</v>
      </c>
      <c r="E636" s="105">
        <v>0.02</v>
      </c>
      <c r="F636" s="106">
        <f>ROUND('Meta data'!$B$1/E636,0)</f>
        <v>15</v>
      </c>
      <c r="G636" s="107"/>
      <c r="H636" s="105" t="s">
        <v>57</v>
      </c>
      <c r="I636" s="119" t="s">
        <v>6624</v>
      </c>
      <c r="J636" s="105" t="s">
        <v>549</v>
      </c>
      <c r="K636" s="105" t="s">
        <v>550</v>
      </c>
      <c r="L636" s="104" t="s">
        <v>555</v>
      </c>
      <c r="M636" s="105" t="s">
        <v>6629</v>
      </c>
      <c r="N636" s="108" t="s">
        <v>6630</v>
      </c>
      <c r="O636" s="109"/>
      <c r="P636" s="109"/>
      <c r="Q636" s="115" t="s">
        <v>554</v>
      </c>
      <c r="R636" s="116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13"/>
      <c r="AD636" s="113"/>
      <c r="AE636" s="113"/>
    </row>
    <row r="637">
      <c r="A637" s="114">
        <v>7.290014763289E12</v>
      </c>
      <c r="B637" s="104" t="str">
        <f t="shared" si="1"/>
        <v>Tnuva_BIO soy drink apple raspberry</v>
      </c>
      <c r="C637" s="105">
        <v>0.06</v>
      </c>
      <c r="D637" s="105">
        <v>0.16</v>
      </c>
      <c r="E637" s="105">
        <v>0.075</v>
      </c>
      <c r="F637" s="106">
        <f>ROUND('Meta data'!$B$1/E637,0)</f>
        <v>4</v>
      </c>
      <c r="G637" s="107"/>
      <c r="H637" s="105" t="s">
        <v>57</v>
      </c>
      <c r="I637" s="119" t="s">
        <v>6624</v>
      </c>
      <c r="J637" s="105" t="s">
        <v>90</v>
      </c>
      <c r="K637" s="105" t="s">
        <v>91</v>
      </c>
      <c r="L637" s="104" t="s">
        <v>96</v>
      </c>
      <c r="M637" s="105" t="s">
        <v>6631</v>
      </c>
      <c r="N637" s="108" t="s">
        <v>6632</v>
      </c>
      <c r="O637" s="109"/>
      <c r="P637" s="109"/>
      <c r="Q637" s="115" t="s">
        <v>95</v>
      </c>
      <c r="R637" s="116"/>
      <c r="S637" s="117"/>
      <c r="T637" s="117"/>
      <c r="U637" s="118"/>
      <c r="V637" s="102"/>
      <c r="W637" s="102"/>
      <c r="X637" s="102"/>
      <c r="Y637" s="102"/>
      <c r="Z637" s="102"/>
      <c r="AA637" s="102"/>
      <c r="AB637" s="102"/>
      <c r="AC637" s="113"/>
      <c r="AD637" s="113"/>
      <c r="AE637" s="113"/>
    </row>
    <row r="638">
      <c r="A638" s="114">
        <v>7.290014763272E12</v>
      </c>
      <c r="B638" s="104" t="str">
        <f t="shared" si="1"/>
        <v>Tnuva_BIO soy drink strawberry banana</v>
      </c>
      <c r="C638" s="105">
        <v>0.06</v>
      </c>
      <c r="D638" s="105">
        <v>0.16</v>
      </c>
      <c r="E638" s="105">
        <v>0.075</v>
      </c>
      <c r="F638" s="106">
        <f>ROUND('Meta data'!$B$1/E638,0)</f>
        <v>4</v>
      </c>
      <c r="G638" s="107"/>
      <c r="H638" s="105" t="s">
        <v>57</v>
      </c>
      <c r="I638" s="119" t="s">
        <v>6624</v>
      </c>
      <c r="J638" s="105" t="s">
        <v>98</v>
      </c>
      <c r="K638" s="105" t="s">
        <v>99</v>
      </c>
      <c r="L638" s="104" t="s">
        <v>102</v>
      </c>
      <c r="M638" s="105" t="s">
        <v>6631</v>
      </c>
      <c r="N638" s="108" t="s">
        <v>6632</v>
      </c>
      <c r="O638" s="109"/>
      <c r="P638" s="109"/>
      <c r="Q638" s="115" t="s">
        <v>101</v>
      </c>
      <c r="R638" s="116"/>
      <c r="S638" s="117"/>
      <c r="T638" s="117"/>
      <c r="U638" s="118"/>
      <c r="V638" s="117"/>
      <c r="W638" s="102"/>
      <c r="X638" s="102"/>
      <c r="Y638" s="102"/>
      <c r="Z638" s="102"/>
      <c r="AA638" s="102"/>
      <c r="AB638" s="102"/>
      <c r="AC638" s="113"/>
      <c r="AD638" s="113"/>
      <c r="AE638" s="113"/>
    </row>
    <row r="639">
      <c r="A639" s="114">
        <v>51710.0</v>
      </c>
      <c r="B639" s="104" t="str">
        <f t="shared" si="1"/>
        <v>Tnuva_Labaneh cheese, olive oil and thyme 263 g</v>
      </c>
      <c r="C639" s="105">
        <v>0.11</v>
      </c>
      <c r="D639" s="105">
        <v>0.09999999</v>
      </c>
      <c r="E639" s="105">
        <v>0.11</v>
      </c>
      <c r="F639" s="106">
        <f>ROUND('Meta data'!$B$1/E639,0)</f>
        <v>3</v>
      </c>
      <c r="G639" s="107"/>
      <c r="H639" s="105" t="s">
        <v>57</v>
      </c>
      <c r="I639" s="119" t="s">
        <v>6624</v>
      </c>
      <c r="J639" s="105" t="s">
        <v>3475</v>
      </c>
      <c r="K639" s="105" t="s">
        <v>3476</v>
      </c>
      <c r="L639" s="104" t="s">
        <v>3480</v>
      </c>
      <c r="M639" s="105" t="s">
        <v>6562</v>
      </c>
      <c r="N639" s="108" t="s">
        <v>6633</v>
      </c>
      <c r="O639" s="109"/>
      <c r="P639" s="109"/>
      <c r="Q639" s="115" t="s">
        <v>3479</v>
      </c>
      <c r="R639" s="116"/>
      <c r="S639" s="117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13"/>
      <c r="AD639" s="113"/>
      <c r="AE639" s="113"/>
    </row>
    <row r="640">
      <c r="A640" s="114">
        <v>4131531.0</v>
      </c>
      <c r="B640" s="104" t="str">
        <f t="shared" si="1"/>
        <v>Tnuva_Chocolate Tnuva 1 liter bottle</v>
      </c>
      <c r="C640" s="105">
        <v>0.08</v>
      </c>
      <c r="D640" s="105">
        <v>0.26</v>
      </c>
      <c r="E640" s="105">
        <v>0.075</v>
      </c>
      <c r="F640" s="106">
        <f>ROUND('Meta data'!$B$1/E640,0)</f>
        <v>4</v>
      </c>
      <c r="G640" s="107"/>
      <c r="H640" s="105" t="s">
        <v>57</v>
      </c>
      <c r="I640" s="119" t="s">
        <v>6624</v>
      </c>
      <c r="J640" s="105" t="s">
        <v>706</v>
      </c>
      <c r="K640" s="119" t="s">
        <v>6634</v>
      </c>
      <c r="L640" s="104" t="s">
        <v>711</v>
      </c>
      <c r="M640" s="105" t="s">
        <v>6378</v>
      </c>
      <c r="N640" s="108" t="s">
        <v>6635</v>
      </c>
      <c r="O640" s="109"/>
      <c r="P640" s="109"/>
      <c r="Q640" s="111" t="s">
        <v>710</v>
      </c>
      <c r="R640" s="115"/>
      <c r="S640" s="11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13"/>
      <c r="AD640" s="113"/>
      <c r="AE640" s="113"/>
    </row>
    <row r="641">
      <c r="A641" s="114">
        <v>4136154.0</v>
      </c>
      <c r="B641" s="104" t="str">
        <f t="shared" si="1"/>
        <v>Tnuva_Tnuva Iced coffee drink 340 ml bottle</v>
      </c>
      <c r="C641" s="105">
        <v>0.06</v>
      </c>
      <c r="D641" s="105">
        <v>0.17</v>
      </c>
      <c r="E641" s="105">
        <v>0.06</v>
      </c>
      <c r="F641" s="106">
        <f>ROUND('Meta data'!$B$1/E641,0)</f>
        <v>5</v>
      </c>
      <c r="G641" s="107"/>
      <c r="H641" s="105" t="s">
        <v>57</v>
      </c>
      <c r="I641" s="119" t="s">
        <v>6624</v>
      </c>
      <c r="J641" s="105" t="s">
        <v>4759</v>
      </c>
      <c r="K641" s="105" t="s">
        <v>4760</v>
      </c>
      <c r="L641" s="104" t="s">
        <v>4763</v>
      </c>
      <c r="M641" s="105" t="s">
        <v>6378</v>
      </c>
      <c r="N641" s="108" t="s">
        <v>6379</v>
      </c>
      <c r="O641" s="109"/>
      <c r="P641" s="109"/>
      <c r="Q641" s="115" t="s">
        <v>4762</v>
      </c>
      <c r="R641" s="116"/>
      <c r="S641" s="117"/>
      <c r="T641" s="117"/>
      <c r="U641" s="117"/>
      <c r="V641" s="117"/>
      <c r="W641" s="102"/>
      <c r="X641" s="102"/>
      <c r="Y641" s="102"/>
      <c r="Z641" s="102"/>
      <c r="AA641" s="102"/>
      <c r="AB641" s="102"/>
      <c r="AC641" s="113"/>
      <c r="AD641" s="113"/>
      <c r="AE641" s="113"/>
    </row>
    <row r="642">
      <c r="A642" s="114">
        <v>52304.0</v>
      </c>
      <c r="B642" s="104" t="str">
        <f t="shared" si="1"/>
        <v>Tnuva_MOCHA Tnuva 340 ml bottle</v>
      </c>
      <c r="C642" s="105">
        <v>0.06</v>
      </c>
      <c r="D642" s="105">
        <v>0.17</v>
      </c>
      <c r="E642" s="105">
        <v>0.07</v>
      </c>
      <c r="F642" s="106">
        <f>ROUND('Meta data'!$B$1/E642,0)</f>
        <v>4</v>
      </c>
      <c r="G642" s="107"/>
      <c r="H642" s="105" t="s">
        <v>57</v>
      </c>
      <c r="I642" s="119" t="s">
        <v>6624</v>
      </c>
      <c r="J642" s="105" t="s">
        <v>4753</v>
      </c>
      <c r="K642" s="119" t="s">
        <v>6636</v>
      </c>
      <c r="L642" s="104" t="s">
        <v>4757</v>
      </c>
      <c r="M642" s="105" t="s">
        <v>6378</v>
      </c>
      <c r="N642" s="108" t="s">
        <v>6379</v>
      </c>
      <c r="O642" s="109"/>
      <c r="P642" s="109"/>
      <c r="Q642" s="115" t="s">
        <v>4756</v>
      </c>
      <c r="R642" s="132"/>
      <c r="S642" s="117"/>
      <c r="T642" s="117"/>
      <c r="U642" s="117"/>
      <c r="V642" s="117"/>
      <c r="W642" s="102"/>
      <c r="X642" s="102"/>
      <c r="Y642" s="102"/>
      <c r="Z642" s="102"/>
      <c r="AA642" s="102"/>
      <c r="AB642" s="102"/>
      <c r="AC642" s="113"/>
      <c r="AD642" s="113"/>
      <c r="AE642" s="113"/>
    </row>
    <row r="643">
      <c r="A643" s="114">
        <v>4136130.0</v>
      </c>
      <c r="B643" s="104" t="str">
        <f t="shared" si="1"/>
        <v>Tnuva_Chocolate Tnuva 340 ml bottle</v>
      </c>
      <c r="C643" s="105">
        <v>0.06</v>
      </c>
      <c r="D643" s="105">
        <v>0.17</v>
      </c>
      <c r="E643" s="105">
        <v>0.06</v>
      </c>
      <c r="F643" s="106">
        <f>ROUND('Meta data'!$B$1/E643,0)</f>
        <v>5</v>
      </c>
      <c r="G643" s="107"/>
      <c r="H643" s="105" t="s">
        <v>57</v>
      </c>
      <c r="I643" s="119" t="s">
        <v>6624</v>
      </c>
      <c r="J643" s="105" t="s">
        <v>4747</v>
      </c>
      <c r="K643" s="119" t="s">
        <v>6637</v>
      </c>
      <c r="L643" s="104" t="s">
        <v>4751</v>
      </c>
      <c r="M643" s="105" t="s">
        <v>6378</v>
      </c>
      <c r="N643" s="108" t="s">
        <v>6379</v>
      </c>
      <c r="O643" s="109"/>
      <c r="P643" s="109"/>
      <c r="Q643" s="115" t="s">
        <v>4750</v>
      </c>
      <c r="R643" s="116"/>
      <c r="S643" s="117"/>
      <c r="T643" s="117"/>
      <c r="U643" s="118"/>
      <c r="V643" s="117"/>
      <c r="W643" s="102"/>
      <c r="X643" s="102"/>
      <c r="Y643" s="102"/>
      <c r="Z643" s="102"/>
      <c r="AA643" s="102"/>
      <c r="AB643" s="102"/>
      <c r="AC643" s="113"/>
      <c r="AD643" s="113"/>
      <c r="AE643" s="113"/>
    </row>
    <row r="644">
      <c r="A644" s="114">
        <v>7.290110325886E12</v>
      </c>
      <c r="B644" s="104" t="str">
        <f t="shared" si="1"/>
        <v>Tnuva_GO iced coffee Tnuva 250 ml</v>
      </c>
      <c r="C644" s="105">
        <v>0.07</v>
      </c>
      <c r="D644" s="105">
        <v>0.15</v>
      </c>
      <c r="E644" s="105">
        <v>0.075</v>
      </c>
      <c r="F644" s="106">
        <f>ROUND('Meta data'!$B$1/E644,0)</f>
        <v>4</v>
      </c>
      <c r="G644" s="107"/>
      <c r="H644" s="105" t="s">
        <v>57</v>
      </c>
      <c r="I644" s="119" t="s">
        <v>6624</v>
      </c>
      <c r="J644" s="105" t="s">
        <v>1724</v>
      </c>
      <c r="K644" s="119" t="s">
        <v>6638</v>
      </c>
      <c r="L644" s="104" t="s">
        <v>1728</v>
      </c>
      <c r="M644" s="105" t="s">
        <v>6378</v>
      </c>
      <c r="N644" s="108" t="s">
        <v>6379</v>
      </c>
      <c r="O644" s="109"/>
      <c r="P644" s="109"/>
      <c r="Q644" s="111" t="s">
        <v>1727</v>
      </c>
      <c r="R644" s="116"/>
      <c r="S644" s="117"/>
      <c r="T644" s="117"/>
      <c r="U644" s="117"/>
      <c r="V644" s="118"/>
      <c r="W644" s="117" t="s">
        <v>6639</v>
      </c>
      <c r="X644" s="102"/>
      <c r="Y644" s="102"/>
      <c r="Z644" s="102"/>
      <c r="AA644" s="102"/>
      <c r="AB644" s="102"/>
      <c r="AC644" s="113"/>
      <c r="AD644" s="113"/>
      <c r="AE644" s="113"/>
    </row>
    <row r="645">
      <c r="A645" s="114">
        <v>7.290110325893E12</v>
      </c>
      <c r="B645" s="104" t="str">
        <f t="shared" si="1"/>
        <v>Tnuva_GO iced coffee Tnuva 340 ml</v>
      </c>
      <c r="C645" s="105">
        <v>0.055</v>
      </c>
      <c r="D645" s="105">
        <v>0.17</v>
      </c>
      <c r="E645" s="105">
        <v>0.08</v>
      </c>
      <c r="F645" s="106">
        <f>ROUND('Meta data'!$B$1/E645,0)</f>
        <v>4</v>
      </c>
      <c r="G645" s="107"/>
      <c r="H645" s="105" t="s">
        <v>57</v>
      </c>
      <c r="I645" s="119" t="s">
        <v>6624</v>
      </c>
      <c r="J645" s="105" t="s">
        <v>1705</v>
      </c>
      <c r="K645" s="119" t="s">
        <v>6640</v>
      </c>
      <c r="L645" s="104" t="s">
        <v>1709</v>
      </c>
      <c r="M645" s="105" t="s">
        <v>6378</v>
      </c>
      <c r="N645" s="108" t="s">
        <v>6379</v>
      </c>
      <c r="O645" s="109"/>
      <c r="P645" s="109"/>
      <c r="Q645" s="115" t="s">
        <v>1708</v>
      </c>
      <c r="R645" s="116"/>
      <c r="S645" s="117"/>
      <c r="T645" s="118"/>
      <c r="U645" s="117"/>
      <c r="V645" s="102"/>
      <c r="W645" s="102"/>
      <c r="X645" s="102"/>
      <c r="Y645" s="102"/>
      <c r="Z645" s="102"/>
      <c r="AA645" s="102"/>
      <c r="AB645" s="102"/>
      <c r="AC645" s="113"/>
      <c r="AD645" s="113"/>
      <c r="AE645" s="113"/>
    </row>
    <row r="646">
      <c r="A646" s="114">
        <v>7.290110324773E12</v>
      </c>
      <c r="B646" s="104" t="str">
        <f t="shared" si="1"/>
        <v>Tnuva_GO vanilla Tnuva 27 grams of protein</v>
      </c>
      <c r="C646" s="105">
        <v>0.055</v>
      </c>
      <c r="D646" s="105">
        <v>0.17</v>
      </c>
      <c r="E646" s="105">
        <v>0.08</v>
      </c>
      <c r="F646" s="106">
        <f>ROUND('Meta data'!$B$1/E646,0)</f>
        <v>4</v>
      </c>
      <c r="G646" s="107"/>
      <c r="H646" s="105" t="s">
        <v>57</v>
      </c>
      <c r="I646" s="119" t="s">
        <v>6624</v>
      </c>
      <c r="J646" s="105" t="s">
        <v>1711</v>
      </c>
      <c r="K646" s="119" t="s">
        <v>6641</v>
      </c>
      <c r="L646" s="104" t="s">
        <v>1715</v>
      </c>
      <c r="M646" s="105" t="s">
        <v>6378</v>
      </c>
      <c r="N646" s="108" t="s">
        <v>6379</v>
      </c>
      <c r="O646" s="109"/>
      <c r="P646" s="109"/>
      <c r="Q646" s="115" t="s">
        <v>1714</v>
      </c>
      <c r="R646" s="116"/>
      <c r="S646" s="117"/>
      <c r="T646" s="102"/>
      <c r="U646" s="102"/>
      <c r="V646" s="102"/>
      <c r="W646" s="102"/>
      <c r="X646" s="102"/>
      <c r="Y646" s="102"/>
      <c r="Z646" s="102"/>
      <c r="AA646" s="102"/>
      <c r="AB646" s="102"/>
      <c r="AC646" s="113"/>
      <c r="AD646" s="113"/>
      <c r="AE646" s="113"/>
    </row>
    <row r="647">
      <c r="A647" s="114">
        <v>4125585.0</v>
      </c>
      <c r="B647" s="104" t="str">
        <f t="shared" si="1"/>
        <v>Tnuva_Vanilla soy drink 1 liter</v>
      </c>
      <c r="C647" s="105">
        <v>0.08</v>
      </c>
      <c r="D647" s="105">
        <v>0.23</v>
      </c>
      <c r="E647" s="105">
        <v>0.07</v>
      </c>
      <c r="F647" s="106">
        <f>ROUND('Meta data'!$B$1/E647,0)</f>
        <v>4</v>
      </c>
      <c r="G647" s="107"/>
      <c r="H647" s="105" t="s">
        <v>57</v>
      </c>
      <c r="I647" s="119" t="s">
        <v>6624</v>
      </c>
      <c r="J647" s="105" t="s">
        <v>82</v>
      </c>
      <c r="K647" s="105" t="s">
        <v>83</v>
      </c>
      <c r="L647" s="104" t="s">
        <v>87</v>
      </c>
      <c r="M647" s="105" t="s">
        <v>6642</v>
      </c>
      <c r="N647" s="108" t="s">
        <v>6643</v>
      </c>
      <c r="O647" s="109"/>
      <c r="P647" s="109"/>
      <c r="Q647" s="115" t="s">
        <v>86</v>
      </c>
      <c r="R647" s="116"/>
      <c r="S647" s="118"/>
      <c r="T647" s="117"/>
      <c r="U647" s="102"/>
      <c r="V647" s="102"/>
      <c r="W647" s="102"/>
      <c r="X647" s="102"/>
      <c r="Y647" s="102"/>
      <c r="Z647" s="102"/>
      <c r="AA647" s="102"/>
      <c r="AB647" s="102"/>
      <c r="AC647" s="113"/>
      <c r="AD647" s="113"/>
      <c r="AE647" s="113"/>
    </row>
    <row r="648">
      <c r="A648" s="114">
        <v>4125578.0</v>
      </c>
      <c r="B648" s="104" t="str">
        <f t="shared" si="1"/>
        <v>Tnuva_Fortified soy drink 1 liter</v>
      </c>
      <c r="C648" s="105">
        <v>0.08</v>
      </c>
      <c r="D648" s="105">
        <v>0.23</v>
      </c>
      <c r="E648" s="105">
        <v>0.07</v>
      </c>
      <c r="F648" s="106">
        <f>ROUND('Meta data'!$B$1/E648,0)</f>
        <v>4</v>
      </c>
      <c r="G648" s="107"/>
      <c r="H648" s="105" t="s">
        <v>57</v>
      </c>
      <c r="I648" s="119" t="s">
        <v>6624</v>
      </c>
      <c r="J648" s="105" t="s">
        <v>68</v>
      </c>
      <c r="K648" s="105" t="s">
        <v>69</v>
      </c>
      <c r="L648" s="104" t="s">
        <v>74</v>
      </c>
      <c r="M648" s="105" t="s">
        <v>6642</v>
      </c>
      <c r="N648" s="108" t="s">
        <v>6644</v>
      </c>
      <c r="O648" s="109"/>
      <c r="P648" s="109"/>
      <c r="Q648" s="115" t="s">
        <v>73</v>
      </c>
      <c r="R648" s="115"/>
      <c r="S648" s="117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13"/>
      <c r="AD648" s="113"/>
      <c r="AE648" s="113"/>
    </row>
    <row r="649">
      <c r="A649" s="114">
        <v>4125455.0</v>
      </c>
      <c r="B649" s="104" t="str">
        <f t="shared" si="1"/>
        <v>Tnuva_Original cream 15% fat 200 ml</v>
      </c>
      <c r="C649" s="105">
        <v>0.07</v>
      </c>
      <c r="D649" s="105">
        <v>0.08</v>
      </c>
      <c r="E649" s="105">
        <v>0.075</v>
      </c>
      <c r="F649" s="106">
        <f>ROUND('Meta data'!$B$1/E649,0)</f>
        <v>4</v>
      </c>
      <c r="G649" s="107"/>
      <c r="H649" s="105" t="s">
        <v>57</v>
      </c>
      <c r="I649" s="119" t="s">
        <v>6624</v>
      </c>
      <c r="J649" s="105" t="s">
        <v>972</v>
      </c>
      <c r="K649" s="105" t="s">
        <v>973</v>
      </c>
      <c r="L649" s="104" t="s">
        <v>978</v>
      </c>
      <c r="M649" s="105" t="s">
        <v>6437</v>
      </c>
      <c r="N649" s="108" t="s">
        <v>6645</v>
      </c>
      <c r="O649" s="109"/>
      <c r="P649" s="109"/>
      <c r="Q649" s="115" t="s">
        <v>977</v>
      </c>
      <c r="R649" s="116"/>
      <c r="S649" s="118"/>
      <c r="T649" s="117"/>
      <c r="U649" s="102"/>
      <c r="V649" s="102"/>
      <c r="W649" s="102"/>
      <c r="X649" s="102"/>
      <c r="Y649" s="102"/>
      <c r="Z649" s="102"/>
      <c r="AA649" s="102"/>
      <c r="AB649" s="102"/>
      <c r="AC649" s="113"/>
      <c r="AD649" s="113"/>
      <c r="AE649" s="113"/>
    </row>
    <row r="650">
      <c r="A650" s="114">
        <v>7.290110325619E12</v>
      </c>
      <c r="B650" s="104" t="str">
        <f t="shared" si="1"/>
        <v>Tnuva_Oat drink</v>
      </c>
      <c r="C650" s="105">
        <v>0.08</v>
      </c>
      <c r="D650" s="105">
        <v>0.23</v>
      </c>
      <c r="E650" s="105">
        <v>0.08</v>
      </c>
      <c r="F650" s="106">
        <f>ROUND('Meta data'!$B$1/E650,0)</f>
        <v>4</v>
      </c>
      <c r="G650" s="107"/>
      <c r="H650" s="105" t="s">
        <v>57</v>
      </c>
      <c r="I650" s="119" t="s">
        <v>6624</v>
      </c>
      <c r="J650" s="105" t="s">
        <v>76</v>
      </c>
      <c r="K650" s="105" t="s">
        <v>77</v>
      </c>
      <c r="L650" s="104" t="s">
        <v>80</v>
      </c>
      <c r="M650" s="105" t="s">
        <v>6363</v>
      </c>
      <c r="N650" s="108" t="s">
        <v>6364</v>
      </c>
      <c r="O650" s="109"/>
      <c r="P650" s="109"/>
      <c r="Q650" s="115" t="s">
        <v>79</v>
      </c>
      <c r="R650" s="116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13"/>
      <c r="AD650" s="113"/>
      <c r="AE650" s="113"/>
    </row>
    <row r="651">
      <c r="A651" s="114">
        <v>7.290014760141E12</v>
      </c>
      <c r="B651" s="104" t="str">
        <f t="shared" si="1"/>
        <v>Tnuva_Fresh almond drink 1 liter</v>
      </c>
      <c r="C651" s="105">
        <v>0.075</v>
      </c>
      <c r="D651" s="105">
        <v>0.232</v>
      </c>
      <c r="E651" s="105">
        <v>0.07</v>
      </c>
      <c r="F651" s="106">
        <f>ROUND('Meta data'!$B$1/E651,0)</f>
        <v>4</v>
      </c>
      <c r="G651" s="107"/>
      <c r="H651" s="105" t="s">
        <v>57</v>
      </c>
      <c r="I651" s="119" t="s">
        <v>6624</v>
      </c>
      <c r="J651" s="105" t="s">
        <v>59</v>
      </c>
      <c r="K651" s="105" t="s">
        <v>60</v>
      </c>
      <c r="L651" s="104" t="s">
        <v>65</v>
      </c>
      <c r="M651" s="105" t="s">
        <v>6363</v>
      </c>
      <c r="N651" s="108" t="s">
        <v>6364</v>
      </c>
      <c r="O651" s="109"/>
      <c r="P651" s="109"/>
      <c r="Q651" s="115" t="s">
        <v>64</v>
      </c>
      <c r="R651" s="116"/>
      <c r="S651" s="117"/>
      <c r="T651" s="117"/>
      <c r="U651" s="121"/>
      <c r="V651" s="102"/>
      <c r="W651" s="102"/>
      <c r="X651" s="102"/>
      <c r="Y651" s="102"/>
      <c r="Z651" s="102"/>
      <c r="AA651" s="102"/>
      <c r="AB651" s="102"/>
      <c r="AC651" s="113"/>
      <c r="AD651" s="113"/>
      <c r="AE651" s="113"/>
    </row>
    <row r="652">
      <c r="A652" s="114">
        <v>7.290106656512E12</v>
      </c>
      <c r="B652" s="104" t="str">
        <f t="shared" si="1"/>
        <v>Tortit_Abortion Tortit</v>
      </c>
      <c r="C652" s="105">
        <v>0.15</v>
      </c>
      <c r="D652" s="105">
        <v>0.23</v>
      </c>
      <c r="E652" s="105">
        <v>0.035</v>
      </c>
      <c r="F652" s="106">
        <f>ROUND('Meta data'!$B$1/E652,0)</f>
        <v>9</v>
      </c>
      <c r="G652" s="107"/>
      <c r="H652" s="105" t="s">
        <v>230</v>
      </c>
      <c r="I652" s="119" t="s">
        <v>4770</v>
      </c>
      <c r="J652" s="105" t="s">
        <v>182</v>
      </c>
      <c r="K652" s="119" t="s">
        <v>6646</v>
      </c>
      <c r="L652" s="104" t="s">
        <v>188</v>
      </c>
      <c r="M652" s="105" t="s">
        <v>6388</v>
      </c>
      <c r="N652" s="108" t="s">
        <v>6443</v>
      </c>
      <c r="O652" s="109"/>
      <c r="P652" s="109"/>
      <c r="Q652" s="115" t="s">
        <v>187</v>
      </c>
      <c r="R652" s="116"/>
      <c r="S652" s="117"/>
      <c r="T652" s="117"/>
      <c r="U652" s="117"/>
      <c r="V652" s="102"/>
      <c r="W652" s="102"/>
      <c r="X652" s="102"/>
      <c r="Y652" s="102"/>
      <c r="Z652" s="102"/>
      <c r="AA652" s="102"/>
      <c r="AB652" s="102"/>
      <c r="AC652" s="113"/>
      <c r="AD652" s="113"/>
      <c r="AE652" s="113"/>
    </row>
    <row r="653">
      <c r="A653" s="114">
        <v>7.290107943048E12</v>
      </c>
      <c r="B653" s="104" t="str">
        <f t="shared" si="1"/>
        <v>Tortit_Personal Tortit abortions</v>
      </c>
      <c r="C653" s="105">
        <v>0.08</v>
      </c>
      <c r="D653" s="105">
        <v>0.112</v>
      </c>
      <c r="E653" s="105">
        <v>0.03</v>
      </c>
      <c r="F653" s="106">
        <f>ROUND('Meta data'!$B$1/E653,0)</f>
        <v>10</v>
      </c>
      <c r="G653" s="107"/>
      <c r="H653" s="105" t="s">
        <v>230</v>
      </c>
      <c r="I653" s="119" t="s">
        <v>4770</v>
      </c>
      <c r="J653" s="105" t="s">
        <v>231</v>
      </c>
      <c r="K653" s="119" t="s">
        <v>6647</v>
      </c>
      <c r="L653" s="104" t="s">
        <v>235</v>
      </c>
      <c r="M653" s="105" t="s">
        <v>6388</v>
      </c>
      <c r="N653" s="108" t="s">
        <v>6443</v>
      </c>
      <c r="O653" s="109"/>
      <c r="P653" s="109"/>
      <c r="Q653" s="115" t="s">
        <v>234</v>
      </c>
      <c r="R653" s="116"/>
      <c r="S653" s="117"/>
      <c r="T653" s="117"/>
      <c r="U653" s="117"/>
      <c r="V653" s="102"/>
      <c r="W653" s="102"/>
      <c r="X653" s="102"/>
      <c r="Y653" s="102"/>
      <c r="Z653" s="102"/>
      <c r="AA653" s="102"/>
      <c r="AB653" s="102"/>
      <c r="AC653" s="113"/>
      <c r="AD653" s="113"/>
      <c r="AE653" s="113"/>
    </row>
    <row r="654">
      <c r="A654" s="114">
        <v>7.290106658479E12</v>
      </c>
      <c r="B654" s="104" t="str">
        <f t="shared" si="1"/>
        <v>Tortit_Tortilla - Snack wafer coated with almond cream</v>
      </c>
      <c r="C654" s="105">
        <v>0.16</v>
      </c>
      <c r="D654" s="105">
        <v>0.035</v>
      </c>
      <c r="E654" s="105">
        <v>0.02</v>
      </c>
      <c r="F654" s="106">
        <f>ROUND('Meta data'!$B$1/E654,0)</f>
        <v>15</v>
      </c>
      <c r="G654" s="107"/>
      <c r="H654" s="105" t="s">
        <v>230</v>
      </c>
      <c r="I654" s="119" t="s">
        <v>4770</v>
      </c>
      <c r="J654" s="105" t="s">
        <v>4773</v>
      </c>
      <c r="K654" s="105" t="s">
        <v>4774</v>
      </c>
      <c r="L654" s="104" t="s">
        <v>4777</v>
      </c>
      <c r="M654" s="105" t="s">
        <v>6302</v>
      </c>
      <c r="N654" s="108" t="s">
        <v>6303</v>
      </c>
      <c r="O654" s="109"/>
      <c r="P654" s="109"/>
      <c r="Q654" s="111" t="s">
        <v>4776</v>
      </c>
      <c r="R654" s="111"/>
      <c r="S654" s="112"/>
      <c r="T654" s="118"/>
      <c r="U654" s="112"/>
      <c r="V654" s="102"/>
      <c r="W654" s="102"/>
      <c r="X654" s="102"/>
      <c r="Y654" s="102"/>
      <c r="Z654" s="102"/>
      <c r="AA654" s="102"/>
      <c r="AB654" s="102"/>
      <c r="AC654" s="113"/>
      <c r="AD654" s="113"/>
      <c r="AE654" s="113"/>
    </row>
    <row r="655">
      <c r="A655" s="114">
        <v>7.290112349255E12</v>
      </c>
      <c r="B655" s="104" t="str">
        <f t="shared" si="1"/>
        <v>Tortit_Tortilla snacks 55 grams</v>
      </c>
      <c r="C655" s="105">
        <v>0.07</v>
      </c>
      <c r="D655" s="105">
        <v>0.105</v>
      </c>
      <c r="E655" s="105">
        <v>0.05</v>
      </c>
      <c r="F655" s="106">
        <f>ROUND('Meta data'!$B$1/E655,0)</f>
        <v>6</v>
      </c>
      <c r="G655" s="107"/>
      <c r="H655" s="105" t="s">
        <v>230</v>
      </c>
      <c r="I655" s="119" t="s">
        <v>4770</v>
      </c>
      <c r="J655" s="105" t="s">
        <v>3133</v>
      </c>
      <c r="K655" s="105" t="s">
        <v>3134</v>
      </c>
      <c r="L655" s="104" t="s">
        <v>3137</v>
      </c>
      <c r="M655" s="105" t="s">
        <v>6302</v>
      </c>
      <c r="N655" s="108" t="s">
        <v>6355</v>
      </c>
      <c r="O655" s="109"/>
      <c r="P655" s="109"/>
      <c r="Q655" s="115" t="s">
        <v>3136</v>
      </c>
      <c r="R655" s="116"/>
      <c r="S655" s="118"/>
      <c r="T655" s="117"/>
      <c r="U655" s="102"/>
      <c r="V655" s="102"/>
      <c r="W655" s="102"/>
      <c r="X655" s="102"/>
      <c r="Y655" s="102"/>
      <c r="Z655" s="102"/>
      <c r="AA655" s="102"/>
      <c r="AB655" s="102"/>
      <c r="AC655" s="113"/>
      <c r="AD655" s="113"/>
      <c r="AE655" s="113"/>
    </row>
    <row r="656">
      <c r="A656" s="114">
        <v>7.290112346537E12</v>
      </c>
      <c r="B656" s="104" t="str">
        <f t="shared" si="1"/>
        <v>Tortit_Pinocchio Tortit filled with almond cream</v>
      </c>
      <c r="C656" s="105">
        <v>0.26</v>
      </c>
      <c r="D656" s="105">
        <v>0.09</v>
      </c>
      <c r="E656" s="105">
        <v>0.03</v>
      </c>
      <c r="F656" s="106">
        <f>ROUND('Meta data'!$B$1/E656,0)</f>
        <v>10</v>
      </c>
      <c r="G656" s="107"/>
      <c r="H656" s="105" t="s">
        <v>230</v>
      </c>
      <c r="I656" s="119" t="s">
        <v>4770</v>
      </c>
      <c r="J656" s="105" t="s">
        <v>4765</v>
      </c>
      <c r="K656" s="119" t="s">
        <v>6648</v>
      </c>
      <c r="L656" s="104" t="s">
        <v>4769</v>
      </c>
      <c r="M656" s="105" t="s">
        <v>6304</v>
      </c>
      <c r="N656" s="108" t="s">
        <v>6521</v>
      </c>
      <c r="O656" s="109"/>
      <c r="P656" s="109"/>
      <c r="Q656" s="111" t="s">
        <v>4768</v>
      </c>
      <c r="R656" s="111"/>
      <c r="S656" s="118"/>
      <c r="T656" s="112"/>
      <c r="U656" s="102"/>
      <c r="V656" s="102"/>
      <c r="W656" s="102"/>
      <c r="X656" s="102"/>
      <c r="Y656" s="102"/>
      <c r="Z656" s="102"/>
      <c r="AA656" s="102"/>
      <c r="AB656" s="102"/>
      <c r="AC656" s="113"/>
      <c r="AD656" s="113"/>
      <c r="AE656" s="113"/>
    </row>
    <row r="657">
      <c r="A657" s="114">
        <v>7.290107945332E12</v>
      </c>
      <c r="B657" s="104" t="str">
        <f t="shared" si="1"/>
        <v>Truffles_Truffles abortions personal crumbs</v>
      </c>
      <c r="C657" s="105">
        <v>0.08</v>
      </c>
      <c r="D657" s="105">
        <v>0.112</v>
      </c>
      <c r="E657" s="105">
        <v>0.03</v>
      </c>
      <c r="F657" s="106">
        <f>ROUND('Meta data'!$B$1/E657,0)</f>
        <v>10</v>
      </c>
      <c r="G657" s="107"/>
      <c r="H657" s="105" t="s">
        <v>237</v>
      </c>
      <c r="I657" s="105" t="str">
        <f>IFERROR(__xludf.DUMMYFUNCTION("GOOGLETRANSLATE(H657,""he"",""en"")"),"Truffles")</f>
        <v>Truffles</v>
      </c>
      <c r="J657" s="105" t="s">
        <v>238</v>
      </c>
      <c r="K657" s="105" t="str">
        <f>IFERROR(__xludf.DUMMYFUNCTION("GOOGLETRANSLATE(J657,""he"",""en"")"),"Truffles abortions personal crumbs")</f>
        <v>Truffles abortions personal crumbs</v>
      </c>
      <c r="L657" s="104" t="s">
        <v>243</v>
      </c>
      <c r="M657" s="105" t="s">
        <v>6388</v>
      </c>
      <c r="N657" s="108" t="s">
        <v>6649</v>
      </c>
      <c r="O657" s="109"/>
      <c r="P657" s="109"/>
      <c r="Q657" s="111" t="s">
        <v>242</v>
      </c>
      <c r="R657" s="111"/>
      <c r="S657" s="112"/>
      <c r="T657" s="112"/>
      <c r="U657" s="102"/>
      <c r="V657" s="102"/>
      <c r="W657" s="102"/>
      <c r="X657" s="102"/>
      <c r="Y657" s="102"/>
      <c r="Z657" s="102"/>
      <c r="AA657" s="102"/>
      <c r="AB657" s="102"/>
      <c r="AC657" s="113"/>
      <c r="AD657" s="113"/>
      <c r="AE657" s="113"/>
    </row>
    <row r="658">
      <c r="A658" s="114">
        <v>7.29000159452E12</v>
      </c>
      <c r="B658" s="104" t="str">
        <f t="shared" si="1"/>
        <v>Tuborg_Tuborg beer bottle, 330 ml</v>
      </c>
      <c r="C658" s="105">
        <v>0.06</v>
      </c>
      <c r="D658" s="105">
        <v>0.228</v>
      </c>
      <c r="E658" s="105">
        <v>0.06</v>
      </c>
      <c r="F658" s="106">
        <f>ROUND('Meta data'!$B$1/E658,0)</f>
        <v>5</v>
      </c>
      <c r="G658" s="107"/>
      <c r="H658" s="105" t="s">
        <v>4779</v>
      </c>
      <c r="I658" s="105" t="str">
        <f>IFERROR(__xludf.DUMMYFUNCTION("GOOGLETRANSLATE(H658,""he"",""en"")"),"Tuborg")</f>
        <v>Tuborg</v>
      </c>
      <c r="J658" s="105" t="s">
        <v>4781</v>
      </c>
      <c r="K658" s="105" t="str">
        <f>IFERROR(__xludf.DUMMYFUNCTION("GOOGLETRANSLATE(J658,""he"",""en"")"),"Tuborg beer bottle, 330 ml")</f>
        <v>Tuborg beer bottle, 330 ml</v>
      </c>
      <c r="L658" s="104" t="s">
        <v>4785</v>
      </c>
      <c r="M658" s="105" t="s">
        <v>6332</v>
      </c>
      <c r="N658" s="108" t="s">
        <v>6338</v>
      </c>
      <c r="O658" s="109"/>
      <c r="P658" s="109"/>
      <c r="Q658" s="115" t="s">
        <v>4784</v>
      </c>
      <c r="R658" s="116"/>
      <c r="S658" s="117"/>
      <c r="T658" s="118"/>
      <c r="U658" s="117"/>
      <c r="V658" s="102"/>
      <c r="W658" s="102"/>
      <c r="X658" s="102"/>
      <c r="Y658" s="102"/>
      <c r="Z658" s="102"/>
      <c r="AA658" s="102"/>
      <c r="AB658" s="102"/>
      <c r="AC658" s="113"/>
      <c r="AD658" s="113"/>
      <c r="AE658" s="113"/>
    </row>
    <row r="659">
      <c r="A659" s="114">
        <v>7.290001594575E12</v>
      </c>
      <c r="B659" s="104" t="str">
        <f t="shared" si="1"/>
        <v>Tuborg_Tuborg beer can of 500 ml</v>
      </c>
      <c r="C659" s="105">
        <v>0.065</v>
      </c>
      <c r="D659" s="105">
        <v>0.17</v>
      </c>
      <c r="E659" s="105">
        <v>0.06</v>
      </c>
      <c r="F659" s="106">
        <f>ROUND('Meta data'!$B$1/E659,0)</f>
        <v>5</v>
      </c>
      <c r="G659" s="107"/>
      <c r="H659" s="105" t="s">
        <v>4779</v>
      </c>
      <c r="I659" s="105" t="str">
        <f>IFERROR(__xludf.DUMMYFUNCTION("GOOGLETRANSLATE(H659,""he"",""en"")"),"Tuborg")</f>
        <v>Tuborg</v>
      </c>
      <c r="J659" s="105" t="s">
        <v>4787</v>
      </c>
      <c r="K659" s="105" t="str">
        <f>IFERROR(__xludf.DUMMYFUNCTION("GOOGLETRANSLATE(J659,""he"",""en"")"),"Tuborg beer can of 500 ml")</f>
        <v>Tuborg beer can of 500 ml</v>
      </c>
      <c r="L659" s="104" t="s">
        <v>4791</v>
      </c>
      <c r="M659" s="105" t="s">
        <v>6332</v>
      </c>
      <c r="N659" s="108" t="s">
        <v>6341</v>
      </c>
      <c r="O659" s="109"/>
      <c r="P659" s="109"/>
      <c r="Q659" s="111" t="s">
        <v>4790</v>
      </c>
      <c r="R659" s="111"/>
      <c r="S659" s="112"/>
      <c r="T659" s="112"/>
      <c r="U659" s="112"/>
      <c r="V659" s="102"/>
      <c r="W659" s="102"/>
      <c r="X659" s="102"/>
      <c r="Y659" s="102"/>
      <c r="Z659" s="102"/>
      <c r="AA659" s="102"/>
      <c r="AB659" s="102"/>
      <c r="AC659" s="113"/>
      <c r="AD659" s="113"/>
      <c r="AE659" s="113"/>
    </row>
    <row r="660">
      <c r="A660" s="114">
        <v>7.2918388E7</v>
      </c>
      <c r="B660" s="104" t="str">
        <f t="shared" si="1"/>
        <v>Twist_Twist 28 g</v>
      </c>
      <c r="C660" s="105">
        <v>0.12</v>
      </c>
      <c r="D660" s="105">
        <v>0.035</v>
      </c>
      <c r="E660" s="105">
        <v>0.02</v>
      </c>
      <c r="F660" s="106">
        <f>ROUND('Meta data'!$B$1/E660,0)</f>
        <v>15</v>
      </c>
      <c r="G660" s="107"/>
      <c r="H660" s="105" t="s">
        <v>4793</v>
      </c>
      <c r="I660" s="105" t="str">
        <f>IFERROR(__xludf.DUMMYFUNCTION("GOOGLETRANSLATE(H660,""he"",""en"")"),"Twist")</f>
        <v>Twist</v>
      </c>
      <c r="J660" s="105" t="s">
        <v>4795</v>
      </c>
      <c r="K660" s="105" t="str">
        <f>IFERROR(__xludf.DUMMYFUNCTION("GOOGLETRANSLATE(J660,""he"",""en"")"),"Twist 28 g")</f>
        <v>Twist 28 g</v>
      </c>
      <c r="L660" s="104" t="s">
        <v>4799</v>
      </c>
      <c r="M660" s="105" t="s">
        <v>6302</v>
      </c>
      <c r="N660" s="108" t="s">
        <v>6303</v>
      </c>
      <c r="O660" s="109"/>
      <c r="P660" s="109"/>
      <c r="Q660" s="111" t="s">
        <v>4798</v>
      </c>
      <c r="R660" s="111"/>
      <c r="S660" s="118"/>
      <c r="T660" s="112"/>
      <c r="U660" s="102"/>
      <c r="V660" s="102"/>
      <c r="W660" s="102"/>
      <c r="X660" s="102"/>
      <c r="Y660" s="102"/>
      <c r="Z660" s="102"/>
      <c r="AA660" s="102"/>
      <c r="AB660" s="102"/>
      <c r="AC660" s="113"/>
      <c r="AD660" s="113"/>
      <c r="AE660" s="113"/>
    </row>
    <row r="661">
      <c r="A661" s="114">
        <v>5.000159459228E12</v>
      </c>
      <c r="B661" s="104" t="str">
        <f t="shared" si="1"/>
        <v>Twix-bar_Twix bar snack 50g</v>
      </c>
      <c r="C661" s="105">
        <v>0.12</v>
      </c>
      <c r="D661" s="105">
        <v>0.045</v>
      </c>
      <c r="E661" s="105">
        <v>0.02</v>
      </c>
      <c r="F661" s="106">
        <f>ROUND('Meta data'!$B$1/E661,0)</f>
        <v>15</v>
      </c>
      <c r="G661" s="107"/>
      <c r="H661" s="105" t="s">
        <v>4801</v>
      </c>
      <c r="I661" s="105" t="str">
        <f>IFERROR(__xludf.DUMMYFUNCTION("GOOGLETRANSLATE(H661,""he"",""en"")"),"Twix bar")</f>
        <v>Twix bar</v>
      </c>
      <c r="J661" s="105" t="s">
        <v>4803</v>
      </c>
      <c r="K661" s="105" t="str">
        <f>IFERROR(__xludf.DUMMYFUNCTION("GOOGLETRANSLATE(J661,""he"",""en"")"),"Twix bar snack 50g")</f>
        <v>Twix bar snack 50g</v>
      </c>
      <c r="L661" s="104" t="s">
        <v>4807</v>
      </c>
      <c r="M661" s="105" t="s">
        <v>6302</v>
      </c>
      <c r="N661" s="108" t="s">
        <v>6303</v>
      </c>
      <c r="O661" s="109"/>
      <c r="P661" s="109"/>
      <c r="Q661" s="111" t="s">
        <v>4806</v>
      </c>
      <c r="R661" s="115"/>
      <c r="S661" s="112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13"/>
      <c r="AD661" s="113"/>
      <c r="AE661" s="113"/>
    </row>
    <row r="662">
      <c r="A662" s="114">
        <v>7.290106660649E12</v>
      </c>
      <c r="B662" s="104" t="str">
        <f t="shared" si="1"/>
        <v>Tzitos_Tzitos crunchy peanuts 80g</v>
      </c>
      <c r="C662" s="105">
        <v>0.14</v>
      </c>
      <c r="D662" s="105">
        <v>0.18</v>
      </c>
      <c r="E662" s="105">
        <v>0.06</v>
      </c>
      <c r="F662" s="106">
        <f>ROUND('Meta data'!$B$1/E662,0)</f>
        <v>5</v>
      </c>
      <c r="G662" s="107"/>
      <c r="H662" s="105" t="s">
        <v>598</v>
      </c>
      <c r="I662" s="105" t="str">
        <f>IFERROR(__xludf.DUMMYFUNCTION("GOOGLETRANSLATE(H662,""he"",""en"")"),"Tzitos")</f>
        <v>Tzitos</v>
      </c>
      <c r="J662" s="105" t="s">
        <v>606</v>
      </c>
      <c r="K662" s="105" t="str">
        <f>IFERROR(__xludf.DUMMYFUNCTION("GOOGLETRANSLATE(J662,""he"",""en"")"),"Tzitos crunchy peanuts 80g")</f>
        <v>Tzitos crunchy peanuts 80g</v>
      </c>
      <c r="L662" s="104" t="s">
        <v>608</v>
      </c>
      <c r="M662" s="105" t="s">
        <v>6309</v>
      </c>
      <c r="N662" s="108" t="s">
        <v>6592</v>
      </c>
      <c r="O662" s="109"/>
      <c r="P662" s="109"/>
      <c r="Q662" s="111" t="s">
        <v>609</v>
      </c>
      <c r="R662" s="111"/>
      <c r="S662" s="112"/>
      <c r="T662" s="112"/>
      <c r="U662" s="102"/>
      <c r="V662" s="102"/>
      <c r="W662" s="102"/>
      <c r="X662" s="102"/>
      <c r="Y662" s="102"/>
      <c r="Z662" s="102"/>
      <c r="AA662" s="102"/>
      <c r="AB662" s="102"/>
      <c r="AC662" s="113"/>
      <c r="AD662" s="113"/>
      <c r="AE662" s="113"/>
    </row>
    <row r="663">
      <c r="A663" s="114">
        <v>7.290106720626E12</v>
      </c>
      <c r="B663" s="104" t="str">
        <f t="shared" si="1"/>
        <v>Tzitos_Tzitos crunchy cheese 80 grams</v>
      </c>
      <c r="C663" s="105">
        <v>0.14</v>
      </c>
      <c r="D663" s="105">
        <v>0.18</v>
      </c>
      <c r="E663" s="105">
        <v>0.06</v>
      </c>
      <c r="F663" s="106">
        <f>ROUND('Meta data'!$B$1/E663,0)</f>
        <v>5</v>
      </c>
      <c r="G663" s="107"/>
      <c r="H663" s="105" t="s">
        <v>598</v>
      </c>
      <c r="I663" s="105" t="str">
        <f>IFERROR(__xludf.DUMMYFUNCTION("GOOGLETRANSLATE(H663,""he"",""en"")"),"Tzitos")</f>
        <v>Tzitos</v>
      </c>
      <c r="J663" s="105" t="s">
        <v>600</v>
      </c>
      <c r="K663" s="105" t="str">
        <f>IFERROR(__xludf.DUMMYFUNCTION("GOOGLETRANSLATE(J663,""he"",""en"")"),"Tzitos crunchy cheese 80 grams")</f>
        <v>Tzitos crunchy cheese 80 grams</v>
      </c>
      <c r="L663" s="104" t="s">
        <v>602</v>
      </c>
      <c r="M663" s="105" t="s">
        <v>6309</v>
      </c>
      <c r="N663" s="108" t="s">
        <v>6592</v>
      </c>
      <c r="O663" s="109"/>
      <c r="P663" s="109"/>
      <c r="Q663" s="111" t="s">
        <v>604</v>
      </c>
      <c r="R663" s="111"/>
      <c r="S663" s="112"/>
      <c r="T663" s="118"/>
      <c r="U663" s="102"/>
      <c r="V663" s="102"/>
      <c r="W663" s="102"/>
      <c r="X663" s="102"/>
      <c r="Y663" s="102"/>
      <c r="Z663" s="102"/>
      <c r="AA663" s="102"/>
      <c r="AB663" s="102"/>
      <c r="AC663" s="113"/>
      <c r="AD663" s="113"/>
      <c r="AE663" s="113"/>
    </row>
    <row r="664">
      <c r="A664" s="114">
        <v>7.501013101447E12</v>
      </c>
      <c r="B664" s="104" t="str">
        <f t="shared" si="1"/>
        <v>Unique_Unique fresco Beck grenades, 473 dozen</v>
      </c>
      <c r="C664" s="105">
        <v>0.068</v>
      </c>
      <c r="D664" s="105">
        <v>0.175</v>
      </c>
      <c r="E664" s="105">
        <v>0.068</v>
      </c>
      <c r="F664" s="106">
        <f>ROUND('Meta data'!$B$1/E664,0)</f>
        <v>4</v>
      </c>
      <c r="G664" s="107"/>
      <c r="H664" s="105" t="s">
        <v>2001</v>
      </c>
      <c r="I664" s="105" t="str">
        <f>IFERROR(__xludf.DUMMYFUNCTION("GOOGLETRANSLATE(H664,""he"",""en"")"),"Unique")</f>
        <v>Unique</v>
      </c>
      <c r="J664" s="105" t="s">
        <v>2002</v>
      </c>
      <c r="K664" s="105" t="str">
        <f>IFERROR(__xludf.DUMMYFUNCTION("GOOGLETRANSLATE(J664,""he"",""en"")"),"Unique fresco Beck grenades, 473 dozen")</f>
        <v>Unique fresco Beck grenades, 473 dozen</v>
      </c>
      <c r="L664" s="104" t="s">
        <v>2006</v>
      </c>
      <c r="M664" s="105" t="s">
        <v>6420</v>
      </c>
      <c r="N664" s="108" t="s">
        <v>6421</v>
      </c>
      <c r="O664" s="109"/>
      <c r="P664" s="109"/>
      <c r="Q664" s="115" t="s">
        <v>2005</v>
      </c>
      <c r="R664" s="116"/>
      <c r="S664" s="128"/>
      <c r="T664" s="117"/>
      <c r="U664" s="118"/>
      <c r="V664" s="102"/>
      <c r="W664" s="102"/>
      <c r="X664" s="102"/>
      <c r="Y664" s="102"/>
      <c r="Z664" s="102"/>
      <c r="AA664" s="102"/>
      <c r="AB664" s="102"/>
      <c r="AC664" s="113"/>
      <c r="AD664" s="113"/>
      <c r="AE664" s="113"/>
    </row>
    <row r="665">
      <c r="A665" s="114">
        <v>7.290000347738E12</v>
      </c>
      <c r="B665" s="104" t="str">
        <f t="shared" si="1"/>
        <v>Vysotsky_Green tea with mint 25 S.</v>
      </c>
      <c r="C665" s="105">
        <v>0.068</v>
      </c>
      <c r="D665" s="105">
        <v>0.144</v>
      </c>
      <c r="E665" s="105">
        <v>0.064</v>
      </c>
      <c r="F665" s="106">
        <f>ROUND('Meta data'!$B$1/E665,0)</f>
        <v>5</v>
      </c>
      <c r="G665" s="107"/>
      <c r="H665" s="105" t="s">
        <v>4887</v>
      </c>
      <c r="I665" s="105" t="str">
        <f>IFERROR(__xludf.DUMMYFUNCTION("GOOGLETRANSLATE(H665,""he"",""en"")"),"Vysotsky")</f>
        <v>Vysotsky</v>
      </c>
      <c r="J665" s="105" t="s">
        <v>4904</v>
      </c>
      <c r="K665" s="105" t="str">
        <f>IFERROR(__xludf.DUMMYFUNCTION("GOOGLETRANSLATE(J665,""he"",""en"")"),"Green tea with mint 25 S.")</f>
        <v>Green tea with mint 25 S.</v>
      </c>
      <c r="L665" s="104" t="s">
        <v>4908</v>
      </c>
      <c r="M665" s="105" t="s">
        <v>4892</v>
      </c>
      <c r="N665" s="108" t="s">
        <v>4892</v>
      </c>
      <c r="O665" s="109"/>
      <c r="P665" s="109"/>
      <c r="Q665" s="115" t="s">
        <v>4907</v>
      </c>
      <c r="R665" s="116"/>
      <c r="S665" s="117"/>
      <c r="T665" s="117"/>
      <c r="U665" s="128"/>
      <c r="V665" s="102"/>
      <c r="W665" s="102"/>
      <c r="X665" s="102"/>
      <c r="Y665" s="102"/>
      <c r="Z665" s="102"/>
      <c r="AA665" s="102"/>
      <c r="AB665" s="102"/>
      <c r="AC665" s="113"/>
      <c r="AD665" s="113"/>
      <c r="AE665" s="113"/>
    </row>
    <row r="666">
      <c r="A666" s="114">
        <v>7.290000347752E12</v>
      </c>
      <c r="B666" s="104" t="str">
        <f t="shared" si="1"/>
        <v>Vysotsky_Green tea + lemon. And Louisa</v>
      </c>
      <c r="C666" s="105">
        <v>0.144</v>
      </c>
      <c r="D666" s="105">
        <v>0.0685</v>
      </c>
      <c r="E666" s="105">
        <v>0.064</v>
      </c>
      <c r="F666" s="106">
        <f>ROUND('Meta data'!$B$1/E666,0)</f>
        <v>5</v>
      </c>
      <c r="G666" s="107"/>
      <c r="H666" s="105" t="s">
        <v>4887</v>
      </c>
      <c r="I666" s="105" t="str">
        <f>IFERROR(__xludf.DUMMYFUNCTION("GOOGLETRANSLATE(H666,""he"",""en"")"),"Vysotsky")</f>
        <v>Vysotsky</v>
      </c>
      <c r="J666" s="105" t="s">
        <v>4897</v>
      </c>
      <c r="K666" s="105" t="str">
        <f>IFERROR(__xludf.DUMMYFUNCTION("GOOGLETRANSLATE(J666,""he"",""en"")"),"Green tea + lemon. And Louisa")</f>
        <v>Green tea + lemon. And Louisa</v>
      </c>
      <c r="L666" s="104" t="s">
        <v>4901</v>
      </c>
      <c r="M666" s="105" t="s">
        <v>4892</v>
      </c>
      <c r="N666" s="108" t="s">
        <v>4892</v>
      </c>
      <c r="O666" s="109"/>
      <c r="P666" s="109"/>
      <c r="Q666" s="115" t="s">
        <v>4900</v>
      </c>
      <c r="R666" s="120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  <c r="AC666" s="113"/>
      <c r="AD666" s="113"/>
      <c r="AE666" s="113"/>
    </row>
    <row r="667">
      <c r="A667" s="114">
        <v>7.29000034526E12</v>
      </c>
      <c r="B667" s="104" t="str">
        <f t="shared" si="1"/>
        <v>Vysotsky_Classic tea envelopes Vysotsky 25 units</v>
      </c>
      <c r="C667" s="105">
        <v>0.145</v>
      </c>
      <c r="D667" s="105">
        <v>0.07</v>
      </c>
      <c r="E667" s="105">
        <v>0.065</v>
      </c>
      <c r="F667" s="106">
        <f>ROUND('Meta data'!$B$1/E667,0)</f>
        <v>5</v>
      </c>
      <c r="G667" s="107"/>
      <c r="H667" s="105" t="s">
        <v>4887</v>
      </c>
      <c r="I667" s="105" t="str">
        <f>IFERROR(__xludf.DUMMYFUNCTION("GOOGLETRANSLATE(H667,""he"",""en"")"),"Vysotsky")</f>
        <v>Vysotsky</v>
      </c>
      <c r="J667" s="105" t="s">
        <v>4889</v>
      </c>
      <c r="K667" s="105" t="str">
        <f>IFERROR(__xludf.DUMMYFUNCTION("GOOGLETRANSLATE(J667,""he"",""en"")"),"Classic tea envelopes Vysotsky 25 units")</f>
        <v>Classic tea envelopes Vysotsky 25 units</v>
      </c>
      <c r="L667" s="104" t="s">
        <v>4894</v>
      </c>
      <c r="M667" s="105" t="s">
        <v>4892</v>
      </c>
      <c r="N667" s="108" t="s">
        <v>4892</v>
      </c>
      <c r="O667" s="109"/>
      <c r="P667" s="109"/>
      <c r="Q667" s="115" t="s">
        <v>4893</v>
      </c>
      <c r="R667" s="120"/>
      <c r="S667" s="118"/>
      <c r="T667" s="117"/>
      <c r="U667" s="117"/>
      <c r="V667" s="102"/>
      <c r="W667" s="102"/>
      <c r="X667" s="102"/>
      <c r="Y667" s="102"/>
      <c r="Z667" s="102"/>
      <c r="AA667" s="102"/>
      <c r="AB667" s="102"/>
      <c r="AC667" s="113"/>
      <c r="AD667" s="113"/>
      <c r="AE667" s="113"/>
    </row>
    <row r="668">
      <c r="A668" s="114">
        <v>7.290013586285E12</v>
      </c>
      <c r="B668" s="104" t="str">
        <f t="shared" si="1"/>
        <v>Vysotsky_Vysotsky ICE mint infusion of 350 mL</v>
      </c>
      <c r="C668" s="105">
        <v>0.073</v>
      </c>
      <c r="D668" s="105">
        <v>0.195</v>
      </c>
      <c r="E668" s="105">
        <v>0.057</v>
      </c>
      <c r="F668" s="106">
        <f>ROUND('Meta data'!$B$1/E668,0)</f>
        <v>5</v>
      </c>
      <c r="G668" s="107"/>
      <c r="H668" s="105" t="s">
        <v>4887</v>
      </c>
      <c r="I668" s="105" t="str">
        <f>IFERROR(__xludf.DUMMYFUNCTION("GOOGLETRANSLATE(H668,""he"",""en"")"),"Vysotsky")</f>
        <v>Vysotsky</v>
      </c>
      <c r="J668" s="105" t="s">
        <v>4917</v>
      </c>
      <c r="K668" s="105" t="str">
        <f>IFERROR(__xludf.DUMMYFUNCTION("GOOGLETRANSLATE(J668,""he"",""en"")"),"Vysotsky ICE mint infusion of 350 mL")</f>
        <v>Vysotsky ICE mint infusion of 350 mL</v>
      </c>
      <c r="L668" s="104" t="s">
        <v>4921</v>
      </c>
      <c r="M668" s="105" t="s">
        <v>6316</v>
      </c>
      <c r="N668" s="108" t="s">
        <v>6317</v>
      </c>
      <c r="O668" s="109"/>
      <c r="P668" s="109"/>
      <c r="Q668" s="115" t="s">
        <v>4920</v>
      </c>
      <c r="R668" s="116"/>
      <c r="S668" s="117"/>
      <c r="T668" s="117"/>
      <c r="U668" s="102"/>
      <c r="V668" s="102"/>
      <c r="W668" s="102"/>
      <c r="X668" s="102"/>
      <c r="Y668" s="102"/>
      <c r="Z668" s="102"/>
      <c r="AA668" s="102"/>
      <c r="AB668" s="102"/>
      <c r="AC668" s="113"/>
      <c r="AD668" s="113"/>
      <c r="AE668" s="113"/>
    </row>
    <row r="669">
      <c r="A669" s="114">
        <v>7.290013585899E12</v>
      </c>
      <c r="B669" s="104" t="str">
        <f t="shared" si="1"/>
        <v>Vysotsky_Vysotsky ICE drink green tea and lime verbena</v>
      </c>
      <c r="C669" s="105">
        <v>0.073</v>
      </c>
      <c r="D669" s="105">
        <v>0.195</v>
      </c>
      <c r="E669" s="105">
        <v>0.057</v>
      </c>
      <c r="F669" s="106">
        <f>ROUND('Meta data'!$B$1/E669,0)</f>
        <v>5</v>
      </c>
      <c r="G669" s="107"/>
      <c r="H669" s="105" t="s">
        <v>4887</v>
      </c>
      <c r="I669" s="105" t="str">
        <f>IFERROR(__xludf.DUMMYFUNCTION("GOOGLETRANSLATE(H669,""he"",""en"")"),"Vysotsky")</f>
        <v>Vysotsky</v>
      </c>
      <c r="J669" s="105" t="s">
        <v>4911</v>
      </c>
      <c r="K669" s="105" t="str">
        <f>IFERROR(__xludf.DUMMYFUNCTION("GOOGLETRANSLATE(J669,""he"",""en"")"),"Vysotsky ICE drink green tea and lime verbena")</f>
        <v>Vysotsky ICE drink green tea and lime verbena</v>
      </c>
      <c r="L669" s="104" t="s">
        <v>4915</v>
      </c>
      <c r="M669" s="105" t="s">
        <v>6316</v>
      </c>
      <c r="N669" s="108" t="s">
        <v>6317</v>
      </c>
      <c r="O669" s="109"/>
      <c r="P669" s="109"/>
      <c r="Q669" s="115" t="s">
        <v>4914</v>
      </c>
      <c r="R669" s="116"/>
      <c r="S669" s="117"/>
      <c r="T669" s="118"/>
      <c r="U669" s="117"/>
      <c r="V669" s="102"/>
      <c r="W669" s="102"/>
      <c r="X669" s="102"/>
      <c r="Y669" s="102"/>
      <c r="Z669" s="102"/>
      <c r="AA669" s="102"/>
      <c r="AB669" s="102"/>
      <c r="AC669" s="113"/>
      <c r="AD669" s="113"/>
      <c r="AE669" s="113"/>
    </row>
    <row r="670">
      <c r="A670" s="114">
        <v>7.610046000822E12</v>
      </c>
      <c r="B670" s="104" t="str">
        <f t="shared" si="1"/>
        <v>Wafel_Kagyu wafel coated with chocolate flavor 50g</v>
      </c>
      <c r="C670" s="105">
        <v>0.14</v>
      </c>
      <c r="D670" s="105">
        <v>0.048</v>
      </c>
      <c r="E670" s="105">
        <v>0.013</v>
      </c>
      <c r="F670" s="106">
        <f>ROUND('Meta data'!$B$1/E670,0)</f>
        <v>23</v>
      </c>
      <c r="G670" s="107"/>
      <c r="H670" s="105" t="s">
        <v>2022</v>
      </c>
      <c r="I670" s="119" t="s">
        <v>6650</v>
      </c>
      <c r="J670" s="105" t="s">
        <v>2032</v>
      </c>
      <c r="K670" s="119" t="s">
        <v>6651</v>
      </c>
      <c r="L670" s="104" t="s">
        <v>2036</v>
      </c>
      <c r="M670" s="105" t="s">
        <v>6652</v>
      </c>
      <c r="N670" s="108" t="s">
        <v>6653</v>
      </c>
      <c r="O670" s="109"/>
      <c r="P670" s="109"/>
      <c r="Q670" s="115" t="s">
        <v>2035</v>
      </c>
      <c r="R670" s="116"/>
      <c r="S670" s="117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13"/>
      <c r="AD670" s="113"/>
      <c r="AE670" s="113"/>
    </row>
    <row r="671">
      <c r="A671" s="114">
        <v>7.610046000808E12</v>
      </c>
      <c r="B671" s="104" t="str">
        <f t="shared" si="1"/>
        <v>Wafel_Kagyu wafel coated 50g milk market</v>
      </c>
      <c r="C671" s="105">
        <v>0.14</v>
      </c>
      <c r="D671" s="105">
        <v>0.048</v>
      </c>
      <c r="E671" s="105">
        <v>0.013</v>
      </c>
      <c r="F671" s="106">
        <f>ROUND('Meta data'!$B$1/E671,0)</f>
        <v>23</v>
      </c>
      <c r="G671" s="107"/>
      <c r="H671" s="105" t="s">
        <v>2022</v>
      </c>
      <c r="I671" s="119" t="s">
        <v>6650</v>
      </c>
      <c r="J671" s="105" t="s">
        <v>2024</v>
      </c>
      <c r="K671" s="119" t="s">
        <v>6654</v>
      </c>
      <c r="L671" s="104" t="s">
        <v>2030</v>
      </c>
      <c r="M671" s="105" t="s">
        <v>6652</v>
      </c>
      <c r="N671" s="108" t="s">
        <v>6653</v>
      </c>
      <c r="O671" s="109"/>
      <c r="P671" s="109"/>
      <c r="Q671" s="115" t="s">
        <v>2029</v>
      </c>
      <c r="R671" s="116"/>
      <c r="S671" s="117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13"/>
      <c r="AD671" s="113"/>
      <c r="AE671" s="113"/>
    </row>
    <row r="672">
      <c r="A672" s="114">
        <v>4.014400914696E12</v>
      </c>
      <c r="B672" s="104" t="str">
        <f t="shared" si="1"/>
        <v>Warter_Butterscotch Warter without sugar 80g</v>
      </c>
      <c r="C672" s="105">
        <v>0.118</v>
      </c>
      <c r="D672" s="105">
        <v>0.185</v>
      </c>
      <c r="E672" s="105">
        <v>0.023</v>
      </c>
      <c r="F672" s="106">
        <f>ROUND('Meta data'!$B$1/E672,0)</f>
        <v>13</v>
      </c>
      <c r="G672" s="107"/>
      <c r="H672" s="105" t="s">
        <v>4867</v>
      </c>
      <c r="I672" s="105" t="str">
        <f>IFERROR(__xludf.DUMMYFUNCTION("GOOGLETRANSLATE(H672,""he"",""en"")"),"Warter")</f>
        <v>Warter</v>
      </c>
      <c r="J672" s="105" t="s">
        <v>4869</v>
      </c>
      <c r="K672" s="105" t="str">
        <f>IFERROR(__xludf.DUMMYFUNCTION("GOOGLETRANSLATE(J672,""he"",""en"")"),"Butterscotch Warter without sugar 80g")</f>
        <v>Butterscotch Warter without sugar 80g</v>
      </c>
      <c r="L672" s="104" t="s">
        <v>4873</v>
      </c>
      <c r="M672" s="105" t="s">
        <v>6391</v>
      </c>
      <c r="N672" s="108" t="s">
        <v>6392</v>
      </c>
      <c r="O672" s="109"/>
      <c r="P672" s="109"/>
      <c r="Q672" s="115" t="s">
        <v>4872</v>
      </c>
      <c r="R672" s="116"/>
      <c r="S672" s="117"/>
      <c r="T672" s="117"/>
      <c r="U672" s="102"/>
      <c r="V672" s="102"/>
      <c r="W672" s="102"/>
      <c r="X672" s="102"/>
      <c r="Y672" s="102"/>
      <c r="Z672" s="102"/>
      <c r="AA672" s="102"/>
      <c r="AB672" s="102"/>
      <c r="AC672" s="113"/>
      <c r="AD672" s="113"/>
      <c r="AE672" s="113"/>
    </row>
    <row r="673">
      <c r="A673" s="114">
        <v>4.014400925319E12</v>
      </c>
      <c r="B673" s="104" t="str">
        <f t="shared" si="1"/>
        <v>Warter_Caramel coated popcorn snack</v>
      </c>
      <c r="C673" s="105">
        <v>0.145</v>
      </c>
      <c r="D673" s="105">
        <v>0.215</v>
      </c>
      <c r="E673" s="105">
        <v>0.06</v>
      </c>
      <c r="F673" s="106">
        <f>ROUND('Meta data'!$B$1/E673,0)</f>
        <v>5</v>
      </c>
      <c r="G673" s="107"/>
      <c r="H673" s="105" t="s">
        <v>4867</v>
      </c>
      <c r="I673" s="105" t="str">
        <f>IFERROR(__xludf.DUMMYFUNCTION("GOOGLETRANSLATE(H673,""he"",""en"")"),"Warter")</f>
        <v>Warter</v>
      </c>
      <c r="J673" s="105" t="s">
        <v>4875</v>
      </c>
      <c r="K673" s="105" t="str">
        <f>IFERROR(__xludf.DUMMYFUNCTION("GOOGLETRANSLATE(J673,""he"",""en"")"),"Caramel coated popcorn snack")</f>
        <v>Caramel coated popcorn snack</v>
      </c>
      <c r="L673" s="104" t="s">
        <v>4877</v>
      </c>
      <c r="M673" s="105" t="s">
        <v>6309</v>
      </c>
      <c r="N673" s="108" t="s">
        <v>6564</v>
      </c>
      <c r="O673" s="109"/>
      <c r="P673" s="109"/>
      <c r="Q673" s="115" t="s">
        <v>4878</v>
      </c>
      <c r="R673" s="116"/>
      <c r="S673" s="117"/>
      <c r="T673" s="117"/>
      <c r="U673" s="102"/>
      <c r="V673" s="102"/>
      <c r="W673" s="102"/>
      <c r="X673" s="102"/>
      <c r="Y673" s="102"/>
      <c r="Z673" s="102"/>
      <c r="AA673" s="102"/>
      <c r="AB673" s="102"/>
      <c r="AC673" s="113"/>
      <c r="AD673" s="113"/>
      <c r="AE673" s="113"/>
    </row>
    <row r="674">
      <c r="A674" s="114">
        <v>5.906485301012E12</v>
      </c>
      <c r="B674" s="104" t="str">
        <f t="shared" si="1"/>
        <v>XL_XL Energy Drink 250 ml carbonated</v>
      </c>
      <c r="C674" s="105">
        <v>0.053</v>
      </c>
      <c r="D674" s="105">
        <v>0.134</v>
      </c>
      <c r="E674" s="105">
        <v>0.053</v>
      </c>
      <c r="F674" s="106">
        <f>ROUND('Meta data'!$B$1/E674,0)</f>
        <v>6</v>
      </c>
      <c r="G674" s="107"/>
      <c r="H674" s="122" t="s">
        <v>4923</v>
      </c>
      <c r="I674" s="105" t="str">
        <f>IFERROR(__xludf.DUMMYFUNCTION("GOOGLETRANSLATE(H674,""he"",""en"")"),"XL")</f>
        <v>XL</v>
      </c>
      <c r="J674" s="105" t="s">
        <v>4924</v>
      </c>
      <c r="K674" s="105" t="str">
        <f>IFERROR(__xludf.DUMMYFUNCTION("GOOGLETRANSLATE(J674,""he"",""en"")"),"XL Energy Drink 250 ml carbonated")</f>
        <v>XL Energy Drink 250 ml carbonated</v>
      </c>
      <c r="L674" s="104" t="s">
        <v>4928</v>
      </c>
      <c r="M674" s="105" t="s">
        <v>6329</v>
      </c>
      <c r="N674" s="108" t="s">
        <v>6334</v>
      </c>
      <c r="O674" s="109"/>
      <c r="P674" s="109"/>
      <c r="Q674" s="111" t="s">
        <v>4927</v>
      </c>
      <c r="R674" s="111"/>
      <c r="S674" s="118"/>
      <c r="T674" s="112"/>
      <c r="U674" s="102"/>
      <c r="V674" s="102"/>
      <c r="W674" s="102"/>
      <c r="X674" s="102"/>
      <c r="Y674" s="102"/>
      <c r="Z674" s="102"/>
      <c r="AA674" s="102"/>
      <c r="AB674" s="102"/>
      <c r="AC674" s="113"/>
      <c r="AD674" s="113"/>
      <c r="AE674" s="113"/>
    </row>
    <row r="675">
      <c r="A675" s="114">
        <v>5.902198160403E12</v>
      </c>
      <c r="B675" s="104" t="str">
        <f t="shared" si="1"/>
        <v>XL_XL Energy Drink 250 ml can of TEN</v>
      </c>
      <c r="C675" s="105">
        <v>0.053</v>
      </c>
      <c r="D675" s="105">
        <v>0.134</v>
      </c>
      <c r="E675" s="105">
        <v>0.053</v>
      </c>
      <c r="F675" s="106">
        <f>ROUND('Meta data'!$B$1/E675,0)</f>
        <v>6</v>
      </c>
      <c r="G675" s="107"/>
      <c r="H675" s="122" t="s">
        <v>4923</v>
      </c>
      <c r="I675" s="105" t="str">
        <f>IFERROR(__xludf.DUMMYFUNCTION("GOOGLETRANSLATE(H675,""he"",""en"")"),"XL")</f>
        <v>XL</v>
      </c>
      <c r="J675" s="105" t="s">
        <v>4949</v>
      </c>
      <c r="K675" s="105" t="str">
        <f>IFERROR(__xludf.DUMMYFUNCTION("GOOGLETRANSLATE(J675,""he"",""en"")"),"XL Energy Drink 250 ml can of TEN")</f>
        <v>XL Energy Drink 250 ml can of TEN</v>
      </c>
      <c r="L675" s="104" t="s">
        <v>4953</v>
      </c>
      <c r="M675" s="105" t="s">
        <v>6329</v>
      </c>
      <c r="N675" s="108" t="s">
        <v>6334</v>
      </c>
      <c r="O675" s="109"/>
      <c r="P675" s="109"/>
      <c r="Q675" s="115" t="s">
        <v>4952</v>
      </c>
      <c r="R675" s="116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13"/>
      <c r="AD675" s="113"/>
      <c r="AE675" s="113"/>
    </row>
    <row r="676">
      <c r="A676" s="114">
        <v>7.290000135045E12</v>
      </c>
      <c r="B676" s="104" t="str">
        <f t="shared" si="1"/>
        <v>XL-TEN_TEN XL Energy Drink apple can excel, 250 ml</v>
      </c>
      <c r="C676" s="105">
        <v>0.053</v>
      </c>
      <c r="D676" s="105">
        <v>0.134</v>
      </c>
      <c r="E676" s="105">
        <v>0.053</v>
      </c>
      <c r="F676" s="106">
        <f>ROUND('Meta data'!$B$1/E676,0)</f>
        <v>6</v>
      </c>
      <c r="G676" s="107"/>
      <c r="H676" s="122" t="s">
        <v>4930</v>
      </c>
      <c r="I676" s="105" t="str">
        <f>IFERROR(__xludf.DUMMYFUNCTION("GOOGLETRANSLATE(H676,""he"",""en"")"),"XL TEN")</f>
        <v>XL TEN</v>
      </c>
      <c r="J676" s="105" t="s">
        <v>4937</v>
      </c>
      <c r="K676" s="105" t="str">
        <f>IFERROR(__xludf.DUMMYFUNCTION("GOOGLETRANSLATE(J676,""he"",""en"")"),"TEN XL Energy Drink apple can excel, 250 ml")</f>
        <v>TEN XL Energy Drink apple can excel, 250 ml</v>
      </c>
      <c r="L676" s="104" t="s">
        <v>4941</v>
      </c>
      <c r="M676" s="105" t="s">
        <v>6329</v>
      </c>
      <c r="N676" s="108" t="s">
        <v>6334</v>
      </c>
      <c r="O676" s="109"/>
      <c r="P676" s="109"/>
      <c r="Q676" s="111" t="s">
        <v>4940</v>
      </c>
      <c r="R676" s="111"/>
      <c r="S676" s="118"/>
      <c r="T676" s="112"/>
      <c r="U676" s="112"/>
      <c r="V676" s="102"/>
      <c r="W676" s="102"/>
      <c r="X676" s="102"/>
      <c r="Y676" s="102"/>
      <c r="Z676" s="102"/>
      <c r="AA676" s="102"/>
      <c r="AB676" s="102"/>
      <c r="AC676" s="113"/>
      <c r="AD676" s="113"/>
      <c r="AE676" s="113"/>
    </row>
    <row r="677">
      <c r="A677" s="114">
        <v>7.290000135052E12</v>
      </c>
      <c r="B677" s="104" t="str">
        <f t="shared" si="1"/>
        <v>XL-TEN_TEN XL Energy Drink Mango tin, 250 ml</v>
      </c>
      <c r="C677" s="105">
        <v>0.053</v>
      </c>
      <c r="D677" s="105">
        <v>0.134</v>
      </c>
      <c r="E677" s="105">
        <v>0.053</v>
      </c>
      <c r="F677" s="106">
        <f>ROUND('Meta data'!$B$1/E677,0)</f>
        <v>6</v>
      </c>
      <c r="G677" s="107"/>
      <c r="H677" s="122" t="s">
        <v>4930</v>
      </c>
      <c r="I677" s="105" t="str">
        <f>IFERROR(__xludf.DUMMYFUNCTION("GOOGLETRANSLATE(H677,""he"",""en"")"),"XL TEN")</f>
        <v>XL TEN</v>
      </c>
      <c r="J677" s="105" t="s">
        <v>4943</v>
      </c>
      <c r="K677" s="105" t="str">
        <f>IFERROR(__xludf.DUMMYFUNCTION("GOOGLETRANSLATE(J677,""he"",""en"")"),"TEN XL Energy Drink Mango tin, 250 ml")</f>
        <v>TEN XL Energy Drink Mango tin, 250 ml</v>
      </c>
      <c r="L677" s="104" t="s">
        <v>4947</v>
      </c>
      <c r="M677" s="105" t="s">
        <v>6329</v>
      </c>
      <c r="N677" s="108" t="s">
        <v>6334</v>
      </c>
      <c r="O677" s="109"/>
      <c r="P677" s="109"/>
      <c r="Q677" s="111" t="s">
        <v>4946</v>
      </c>
      <c r="R677" s="111"/>
      <c r="S677" s="112"/>
      <c r="T677" s="112"/>
      <c r="U677" s="102"/>
      <c r="V677" s="102"/>
      <c r="W677" s="102"/>
      <c r="X677" s="102"/>
      <c r="Y677" s="102"/>
      <c r="Z677" s="102"/>
      <c r="AA677" s="102"/>
      <c r="AB677" s="102"/>
      <c r="AC677" s="113"/>
      <c r="AD677" s="113"/>
      <c r="AE677" s="113"/>
    </row>
    <row r="678">
      <c r="A678" s="114">
        <v>7.290000135113E12</v>
      </c>
      <c r="B678" s="104" t="str">
        <f t="shared" si="1"/>
        <v>XL-TEN_And canned energy drink mint lime TEN XL, 250 ml</v>
      </c>
      <c r="C678" s="105">
        <v>0.053</v>
      </c>
      <c r="D678" s="105">
        <v>0.134</v>
      </c>
      <c r="E678" s="105">
        <v>0.053</v>
      </c>
      <c r="F678" s="106">
        <f>ROUND('Meta data'!$B$1/E678,0)</f>
        <v>6</v>
      </c>
      <c r="G678" s="107"/>
      <c r="H678" s="122" t="s">
        <v>4930</v>
      </c>
      <c r="I678" s="105" t="str">
        <f>IFERROR(__xludf.DUMMYFUNCTION("GOOGLETRANSLATE(H678,""he"",""en"")"),"XL TEN")</f>
        <v>XL TEN</v>
      </c>
      <c r="J678" s="105" t="s">
        <v>4931</v>
      </c>
      <c r="K678" s="105" t="str">
        <f>IFERROR(__xludf.DUMMYFUNCTION("GOOGLETRANSLATE(J678,""he"",""en"")"),"And canned energy drink mint lime TEN XL, 250 ml")</f>
        <v>And canned energy drink mint lime TEN XL, 250 ml</v>
      </c>
      <c r="L678" s="104" t="s">
        <v>4935</v>
      </c>
      <c r="M678" s="105" t="s">
        <v>6329</v>
      </c>
      <c r="N678" s="108" t="s">
        <v>6334</v>
      </c>
      <c r="O678" s="109"/>
      <c r="P678" s="109"/>
      <c r="Q678" s="111" t="s">
        <v>4934</v>
      </c>
      <c r="R678" s="111"/>
      <c r="S678" s="118"/>
      <c r="T678" s="112"/>
      <c r="U678" s="102"/>
      <c r="V678" s="102"/>
      <c r="W678" s="102"/>
      <c r="X678" s="102"/>
      <c r="Y678" s="102"/>
      <c r="Z678" s="102"/>
      <c r="AA678" s="102"/>
      <c r="AB678" s="102"/>
      <c r="AC678" s="113"/>
      <c r="AD678" s="113"/>
      <c r="AE678" s="113"/>
    </row>
    <row r="679">
      <c r="A679" s="114">
        <v>7.290110326999E12</v>
      </c>
      <c r="B679" s="104" t="str">
        <f t="shared" si="1"/>
        <v>YOLO_YOLO drink chocolate milk 340 ml Classic</v>
      </c>
      <c r="C679" s="105">
        <v>0.06</v>
      </c>
      <c r="D679" s="105">
        <v>0.17</v>
      </c>
      <c r="E679" s="105">
        <v>0.075</v>
      </c>
      <c r="F679" s="106">
        <f>ROUND('Meta data'!$B$1/E679,0)</f>
        <v>4</v>
      </c>
      <c r="G679" s="107"/>
      <c r="H679" s="122" t="s">
        <v>4956</v>
      </c>
      <c r="I679" s="105" t="str">
        <f>IFERROR(__xludf.DUMMYFUNCTION("GOOGLETRANSLATE(H679,""he"",""en"")"),"YOLO")</f>
        <v>YOLO</v>
      </c>
      <c r="J679" s="105" t="s">
        <v>4961</v>
      </c>
      <c r="K679" s="105" t="str">
        <f>IFERROR(__xludf.DUMMYFUNCTION("GOOGLETRANSLATE(J679,""he"",""en"")"),"YOLO drink chocolate milk 340 ml Classic")</f>
        <v>YOLO drink chocolate milk 340 ml Classic</v>
      </c>
      <c r="L679" s="104" t="s">
        <v>4965</v>
      </c>
      <c r="M679" s="105" t="s">
        <v>6378</v>
      </c>
      <c r="N679" s="108" t="s">
        <v>6379</v>
      </c>
      <c r="O679" s="109"/>
      <c r="P679" s="109"/>
      <c r="Q679" s="111" t="s">
        <v>4964</v>
      </c>
      <c r="R679" s="111"/>
      <c r="S679" s="118"/>
      <c r="T679" s="112"/>
      <c r="U679" s="102"/>
      <c r="V679" s="102"/>
      <c r="W679" s="102"/>
      <c r="X679" s="102"/>
      <c r="Y679" s="102"/>
      <c r="Z679" s="102"/>
      <c r="AA679" s="102"/>
      <c r="AB679" s="102"/>
      <c r="AC679" s="113"/>
      <c r="AD679" s="113"/>
      <c r="AE679" s="113"/>
    </row>
    <row r="680">
      <c r="A680" s="114">
        <v>7.290110321703E12</v>
      </c>
      <c r="B680" s="104" t="str">
        <f t="shared" si="1"/>
        <v>Yoplait_Go Yogurt 200g berries</v>
      </c>
      <c r="C680" s="105">
        <v>0.073</v>
      </c>
      <c r="D680" s="105">
        <v>0.072</v>
      </c>
      <c r="E680" s="105">
        <v>0.075</v>
      </c>
      <c r="F680" s="106">
        <f>ROUND('Meta data'!$B$1/E680,0)</f>
        <v>4</v>
      </c>
      <c r="G680" s="107"/>
      <c r="H680" s="105" t="s">
        <v>1664</v>
      </c>
      <c r="I680" s="105" t="str">
        <f>IFERROR(__xludf.DUMMYFUNCTION("GOOGLETRANSLATE(H680,""he"",""en"")"),"Yoplait")</f>
        <v>Yoplait</v>
      </c>
      <c r="J680" s="105" t="s">
        <v>4981</v>
      </c>
      <c r="K680" s="105" t="str">
        <f>IFERROR(__xludf.DUMMYFUNCTION("GOOGLETRANSLATE(J680,""he"",""en"")"),"Go Yogurt 200g berries")</f>
        <v>Go Yogurt 200g berries</v>
      </c>
      <c r="L680" s="104" t="s">
        <v>4985</v>
      </c>
      <c r="M680" s="105" t="s">
        <v>6374</v>
      </c>
      <c r="N680" s="108" t="s">
        <v>6376</v>
      </c>
      <c r="O680" s="109"/>
      <c r="P680" s="109"/>
      <c r="Q680" s="115" t="s">
        <v>4984</v>
      </c>
      <c r="R680" s="116"/>
      <c r="S680" s="117"/>
      <c r="T680" s="117"/>
      <c r="U680" s="117"/>
      <c r="V680" s="102"/>
      <c r="W680" s="102"/>
      <c r="X680" s="102"/>
      <c r="Y680" s="102"/>
      <c r="Z680" s="102"/>
      <c r="AA680" s="102"/>
      <c r="AB680" s="102"/>
      <c r="AC680" s="113"/>
      <c r="AD680" s="113"/>
      <c r="AE680" s="113"/>
    </row>
    <row r="681">
      <c r="A681" s="114">
        <v>7.29011032168E12</v>
      </c>
      <c r="B681" s="104" t="str">
        <f t="shared" si="1"/>
        <v>Yoplait_Go Strawberry Yogurt 200g</v>
      </c>
      <c r="C681" s="105">
        <v>0.073</v>
      </c>
      <c r="D681" s="105">
        <v>0.072</v>
      </c>
      <c r="E681" s="105">
        <v>0.075</v>
      </c>
      <c r="F681" s="106">
        <f>ROUND('Meta data'!$B$1/E681,0)</f>
        <v>4</v>
      </c>
      <c r="G681" s="107"/>
      <c r="H681" s="105" t="s">
        <v>1664</v>
      </c>
      <c r="I681" s="105" t="str">
        <f>IFERROR(__xludf.DUMMYFUNCTION("GOOGLETRANSLATE(H681,""he"",""en"")"),"Yoplait")</f>
        <v>Yoplait</v>
      </c>
      <c r="J681" s="105" t="s">
        <v>4974</v>
      </c>
      <c r="K681" s="105" t="str">
        <f>IFERROR(__xludf.DUMMYFUNCTION("GOOGLETRANSLATE(J681,""he"",""en"")"),"Go Strawberry Yogurt 200g")</f>
        <v>Go Strawberry Yogurt 200g</v>
      </c>
      <c r="L681" s="104" t="s">
        <v>4978</v>
      </c>
      <c r="M681" s="105" t="s">
        <v>6374</v>
      </c>
      <c r="N681" s="108" t="s">
        <v>6376</v>
      </c>
      <c r="O681" s="109"/>
      <c r="P681" s="109"/>
      <c r="Q681" s="115" t="s">
        <v>4977</v>
      </c>
      <c r="R681" s="116"/>
      <c r="S681" s="117"/>
      <c r="T681" s="102"/>
      <c r="U681" s="102"/>
      <c r="V681" s="102"/>
      <c r="W681" s="102"/>
      <c r="X681" s="102"/>
      <c r="Y681" s="102"/>
      <c r="Z681" s="102"/>
      <c r="AA681" s="102"/>
      <c r="AB681" s="102"/>
      <c r="AC681" s="113"/>
      <c r="AD681" s="113"/>
      <c r="AE681" s="113"/>
    </row>
    <row r="682">
      <c r="A682" s="114">
        <v>40080.0</v>
      </c>
      <c r="B682" s="104" t="str">
        <f t="shared" si="1"/>
        <v>Yoplait_Yoplait yogurt peach 3%</v>
      </c>
      <c r="C682" s="105">
        <v>0.073</v>
      </c>
      <c r="D682" s="105">
        <v>0.072</v>
      </c>
      <c r="E682" s="105">
        <v>0.075</v>
      </c>
      <c r="F682" s="106">
        <f>ROUND('Meta data'!$B$1/E682,0)</f>
        <v>4</v>
      </c>
      <c r="G682" s="107"/>
      <c r="H682" s="105" t="s">
        <v>1664</v>
      </c>
      <c r="I682" s="105" t="str">
        <f>IFERROR(__xludf.DUMMYFUNCTION("GOOGLETRANSLATE(H682,""he"",""en"")"),"Yoplait")</f>
        <v>Yoplait</v>
      </c>
      <c r="J682" s="105" t="s">
        <v>5018</v>
      </c>
      <c r="K682" s="105" t="str">
        <f>IFERROR(__xludf.DUMMYFUNCTION("GOOGLETRANSLATE(J682,""he"",""en"")"),"Yoplait yogurt peach 3%")</f>
        <v>Yoplait yogurt peach 3%</v>
      </c>
      <c r="L682" s="104" t="s">
        <v>5022</v>
      </c>
      <c r="M682" s="105" t="s">
        <v>6374</v>
      </c>
      <c r="N682" s="108" t="s">
        <v>6376</v>
      </c>
      <c r="O682" s="109"/>
      <c r="P682" s="109"/>
      <c r="Q682" s="115" t="s">
        <v>5021</v>
      </c>
      <c r="R682" s="116"/>
      <c r="S682" s="117"/>
      <c r="T682" s="102"/>
      <c r="U682" s="102"/>
      <c r="V682" s="102"/>
      <c r="W682" s="102"/>
      <c r="X682" s="102"/>
      <c r="Y682" s="102"/>
      <c r="Z682" s="102"/>
      <c r="AA682" s="102"/>
      <c r="AB682" s="102"/>
      <c r="AC682" s="113"/>
      <c r="AD682" s="113"/>
      <c r="AE682" s="113"/>
    </row>
    <row r="683">
      <c r="A683" s="114">
        <v>40042.0</v>
      </c>
      <c r="B683" s="104" t="str">
        <f t="shared" si="1"/>
        <v>Yoplait_Yoplait yogurt strawberry 3%</v>
      </c>
      <c r="C683" s="105">
        <v>0.073</v>
      </c>
      <c r="D683" s="105">
        <v>0.072</v>
      </c>
      <c r="E683" s="105">
        <v>0.075</v>
      </c>
      <c r="F683" s="106">
        <f>ROUND('Meta data'!$B$1/E683,0)</f>
        <v>4</v>
      </c>
      <c r="G683" s="107"/>
      <c r="H683" s="105" t="s">
        <v>1664</v>
      </c>
      <c r="I683" s="105" t="str">
        <f>IFERROR(__xludf.DUMMYFUNCTION("GOOGLETRANSLATE(H683,""he"",""en"")"),"Yoplait")</f>
        <v>Yoplait</v>
      </c>
      <c r="J683" s="105" t="s">
        <v>5024</v>
      </c>
      <c r="K683" s="105" t="str">
        <f>IFERROR(__xludf.DUMMYFUNCTION("GOOGLETRANSLATE(J683,""he"",""en"")"),"Yoplait yogurt strawberry 3%")</f>
        <v>Yoplait yogurt strawberry 3%</v>
      </c>
      <c r="L683" s="104" t="s">
        <v>5028</v>
      </c>
      <c r="M683" s="105" t="s">
        <v>6374</v>
      </c>
      <c r="N683" s="108" t="s">
        <v>6376</v>
      </c>
      <c r="O683" s="109"/>
      <c r="P683" s="109"/>
      <c r="Q683" s="115" t="s">
        <v>5027</v>
      </c>
      <c r="R683" s="116"/>
      <c r="S683" s="117"/>
      <c r="T683" s="102"/>
      <c r="U683" s="102"/>
      <c r="V683" s="102"/>
      <c r="W683" s="102"/>
      <c r="X683" s="102"/>
      <c r="Y683" s="102"/>
      <c r="Z683" s="102"/>
      <c r="AA683" s="102"/>
      <c r="AB683" s="102"/>
      <c r="AC683" s="113"/>
      <c r="AD683" s="113"/>
      <c r="AE683" s="113"/>
    </row>
    <row r="684">
      <c r="A684" s="114">
        <v>7.290110326241E12</v>
      </c>
      <c r="B684" s="104" t="str">
        <f t="shared" si="1"/>
        <v>Yoplait_Yoplait granola on top</v>
      </c>
      <c r="C684" s="105">
        <v>0.08</v>
      </c>
      <c r="D684" s="105">
        <v>0.07</v>
      </c>
      <c r="E684" s="105">
        <v>0.065</v>
      </c>
      <c r="F684" s="106">
        <f>ROUND('Meta data'!$B$1/E684,0)</f>
        <v>5</v>
      </c>
      <c r="G684" s="107"/>
      <c r="H684" s="105" t="s">
        <v>1664</v>
      </c>
      <c r="I684" s="105" t="str">
        <f>IFERROR(__xludf.DUMMYFUNCTION("GOOGLETRANSLATE(H684,""he"",""en"")"),"Yoplait")</f>
        <v>Yoplait</v>
      </c>
      <c r="J684" s="105" t="s">
        <v>4994</v>
      </c>
      <c r="K684" s="105" t="str">
        <f>IFERROR(__xludf.DUMMYFUNCTION("GOOGLETRANSLATE(J684,""he"",""en"")"),"Yoplait granola on top")</f>
        <v>Yoplait granola on top</v>
      </c>
      <c r="L684" s="104" t="s">
        <v>4998</v>
      </c>
      <c r="M684" s="105" t="s">
        <v>6374</v>
      </c>
      <c r="N684" s="108" t="s">
        <v>6376</v>
      </c>
      <c r="O684" s="109"/>
      <c r="P684" s="109"/>
      <c r="Q684" s="115" t="s">
        <v>4997</v>
      </c>
      <c r="R684" s="116"/>
      <c r="S684" s="117"/>
      <c r="T684" s="117"/>
      <c r="U684" s="102"/>
      <c r="V684" s="102"/>
      <c r="W684" s="102"/>
      <c r="X684" s="102"/>
      <c r="Y684" s="102"/>
      <c r="Z684" s="102"/>
      <c r="AA684" s="102"/>
      <c r="AB684" s="102"/>
      <c r="AC684" s="113"/>
      <c r="AD684" s="113"/>
      <c r="AE684" s="113"/>
    </row>
    <row r="685">
      <c r="A685" s="114">
        <v>7.290110326234E12</v>
      </c>
      <c r="B685" s="104" t="str">
        <f t="shared" si="1"/>
        <v>Yoplait_Yoplait On Top Stars</v>
      </c>
      <c r="C685" s="105">
        <v>0.08</v>
      </c>
      <c r="D685" s="105">
        <v>0.072</v>
      </c>
      <c r="E685" s="105">
        <v>0.075</v>
      </c>
      <c r="F685" s="106">
        <f>ROUND('Meta data'!$B$1/E685,0)</f>
        <v>4</v>
      </c>
      <c r="G685" s="107"/>
      <c r="H685" s="105" t="s">
        <v>1664</v>
      </c>
      <c r="I685" s="105" t="str">
        <f>IFERROR(__xludf.DUMMYFUNCTION("GOOGLETRANSLATE(H685,""he"",""en"")"),"Yoplait")</f>
        <v>Yoplait</v>
      </c>
      <c r="J685" s="105" t="s">
        <v>5000</v>
      </c>
      <c r="K685" s="105" t="str">
        <f>IFERROR(__xludf.DUMMYFUNCTION("GOOGLETRANSLATE(J685,""he"",""en"")"),"Yoplait On Top Stars")</f>
        <v>Yoplait On Top Stars</v>
      </c>
      <c r="L685" s="104" t="s">
        <v>5004</v>
      </c>
      <c r="M685" s="105" t="s">
        <v>6374</v>
      </c>
      <c r="N685" s="108" t="s">
        <v>6376</v>
      </c>
      <c r="O685" s="109"/>
      <c r="P685" s="109"/>
      <c r="Q685" s="111" t="s">
        <v>5003</v>
      </c>
      <c r="R685" s="116"/>
      <c r="S685" s="117"/>
      <c r="T685" s="117"/>
      <c r="U685" s="117"/>
      <c r="V685" s="102"/>
      <c r="W685" s="102"/>
      <c r="X685" s="102"/>
      <c r="Y685" s="102"/>
      <c r="Z685" s="102"/>
      <c r="AA685" s="102"/>
      <c r="AB685" s="102"/>
      <c r="AC685" s="113"/>
      <c r="AD685" s="113"/>
      <c r="AE685" s="113"/>
    </row>
    <row r="686">
      <c r="A686" s="114">
        <v>7.29011032621E12</v>
      </c>
      <c r="B686" s="104" t="str">
        <f t="shared" si="1"/>
        <v>Yoplait_Yoplait crackling on top</v>
      </c>
      <c r="C686" s="105">
        <v>0.08</v>
      </c>
      <c r="D686" s="105">
        <v>0.07</v>
      </c>
      <c r="E686" s="105">
        <v>0.065</v>
      </c>
      <c r="F686" s="106">
        <f>ROUND('Meta data'!$B$1/E686,0)</f>
        <v>5</v>
      </c>
      <c r="G686" s="107"/>
      <c r="H686" s="105" t="s">
        <v>1664</v>
      </c>
      <c r="I686" s="105" t="str">
        <f>IFERROR(__xludf.DUMMYFUNCTION("GOOGLETRANSLATE(H686,""he"",""en"")"),"Yoplait")</f>
        <v>Yoplait</v>
      </c>
      <c r="J686" s="105" t="s">
        <v>4988</v>
      </c>
      <c r="K686" s="105" t="str">
        <f>IFERROR(__xludf.DUMMYFUNCTION("GOOGLETRANSLATE(J686,""he"",""en"")"),"Yoplait crackling on top")</f>
        <v>Yoplait crackling on top</v>
      </c>
      <c r="L686" s="104" t="s">
        <v>4992</v>
      </c>
      <c r="M686" s="105" t="s">
        <v>6374</v>
      </c>
      <c r="N686" s="108" t="s">
        <v>6376</v>
      </c>
      <c r="O686" s="109"/>
      <c r="P686" s="109"/>
      <c r="Q686" s="115" t="s">
        <v>4991</v>
      </c>
      <c r="R686" s="116"/>
      <c r="S686" s="117"/>
      <c r="T686" s="117"/>
      <c r="U686" s="118"/>
      <c r="V686" s="102"/>
      <c r="W686" s="102"/>
      <c r="X686" s="102"/>
      <c r="Y686" s="102"/>
      <c r="Z686" s="102"/>
      <c r="AA686" s="102"/>
      <c r="AB686" s="102"/>
      <c r="AC686" s="113"/>
      <c r="AD686" s="113"/>
      <c r="AE686" s="113"/>
    </row>
    <row r="687">
      <c r="A687" s="114">
        <v>7.290110324636E12</v>
      </c>
      <c r="B687" s="104" t="str">
        <f t="shared" si="1"/>
        <v>Yoplait_Yoplait yogurt drink a glass of berries 200 g 2%</v>
      </c>
      <c r="C687" s="105">
        <v>0.075</v>
      </c>
      <c r="D687" s="105">
        <v>0.08</v>
      </c>
      <c r="E687" s="105">
        <v>0.075</v>
      </c>
      <c r="F687" s="106">
        <f>ROUND('Meta data'!$B$1/E687,0)</f>
        <v>4</v>
      </c>
      <c r="G687" s="107"/>
      <c r="H687" s="105" t="s">
        <v>1664</v>
      </c>
      <c r="I687" s="105" t="str">
        <f>IFERROR(__xludf.DUMMYFUNCTION("GOOGLETRANSLATE(H687,""he"",""en"")"),"Yoplait")</f>
        <v>Yoplait</v>
      </c>
      <c r="J687" s="105" t="s">
        <v>5006</v>
      </c>
      <c r="K687" s="105" t="str">
        <f>IFERROR(__xludf.DUMMYFUNCTION("GOOGLETRANSLATE(J687,""he"",""en"")"),"Yoplait yogurt drink a glass of berries 200 g 2%")</f>
        <v>Yoplait yogurt drink a glass of berries 200 g 2%</v>
      </c>
      <c r="L687" s="104" t="s">
        <v>5010</v>
      </c>
      <c r="M687" s="105" t="s">
        <v>6374</v>
      </c>
      <c r="N687" s="108" t="s">
        <v>6376</v>
      </c>
      <c r="O687" s="109"/>
      <c r="P687" s="109"/>
      <c r="Q687" s="115" t="s">
        <v>5009</v>
      </c>
      <c r="R687" s="116"/>
      <c r="S687" s="118"/>
      <c r="T687" s="117"/>
      <c r="U687" s="102"/>
      <c r="V687" s="102"/>
      <c r="W687" s="102"/>
      <c r="X687" s="102"/>
      <c r="Y687" s="102"/>
      <c r="Z687" s="102"/>
      <c r="AA687" s="102"/>
      <c r="AB687" s="102"/>
      <c r="AC687" s="113"/>
      <c r="AD687" s="113"/>
      <c r="AE687" s="113"/>
    </row>
    <row r="688">
      <c r="A688" s="114">
        <v>7.290110324612E12</v>
      </c>
      <c r="B688" s="104" t="str">
        <f t="shared" si="1"/>
        <v>Yoplait_Yoplait yogurt drink a glass of strawberries and cream 2%</v>
      </c>
      <c r="C688" s="105">
        <v>0.075</v>
      </c>
      <c r="D688" s="105">
        <v>0.08</v>
      </c>
      <c r="E688" s="105">
        <v>0.075</v>
      </c>
      <c r="F688" s="106">
        <f>ROUND('Meta data'!$B$1/E688,0)</f>
        <v>4</v>
      </c>
      <c r="G688" s="107"/>
      <c r="H688" s="105" t="s">
        <v>1664</v>
      </c>
      <c r="I688" s="105" t="str">
        <f>IFERROR(__xludf.DUMMYFUNCTION("GOOGLETRANSLATE(H688,""he"",""en"")"),"Yoplait")</f>
        <v>Yoplait</v>
      </c>
      <c r="J688" s="105" t="s">
        <v>5012</v>
      </c>
      <c r="K688" s="105" t="str">
        <f>IFERROR(__xludf.DUMMYFUNCTION("GOOGLETRANSLATE(J688,""he"",""en"")"),"Yoplait yogurt drink a glass of strawberries and cream 2%")</f>
        <v>Yoplait yogurt drink a glass of strawberries and cream 2%</v>
      </c>
      <c r="L688" s="104" t="s">
        <v>5016</v>
      </c>
      <c r="M688" s="105" t="s">
        <v>6374</v>
      </c>
      <c r="N688" s="108" t="s">
        <v>6376</v>
      </c>
      <c r="O688" s="109"/>
      <c r="P688" s="109"/>
      <c r="Q688" s="115" t="s">
        <v>5015</v>
      </c>
      <c r="R688" s="116"/>
      <c r="S688" s="117"/>
      <c r="T688" s="117"/>
      <c r="U688" s="121"/>
      <c r="V688" s="102"/>
      <c r="W688" s="102"/>
      <c r="X688" s="102"/>
      <c r="Y688" s="102"/>
      <c r="Z688" s="102"/>
      <c r="AA688" s="102"/>
      <c r="AB688" s="102"/>
      <c r="AC688" s="113"/>
      <c r="AD688" s="113"/>
      <c r="AE688" s="113"/>
    </row>
    <row r="689">
      <c r="A689" s="114">
        <v>55336.0</v>
      </c>
      <c r="B689" s="104" t="str">
        <f t="shared" si="1"/>
        <v>Yoplait_Yoplait yogurt drink Banana Peach</v>
      </c>
      <c r="C689" s="105">
        <v>0.06</v>
      </c>
      <c r="D689" s="105">
        <v>0.16</v>
      </c>
      <c r="E689" s="105">
        <v>0.05</v>
      </c>
      <c r="F689" s="106">
        <f>ROUND('Meta data'!$B$1/E689,0)</f>
        <v>6</v>
      </c>
      <c r="G689" s="107"/>
      <c r="H689" s="105" t="s">
        <v>1664</v>
      </c>
      <c r="I689" s="105" t="str">
        <f>IFERROR(__xludf.DUMMYFUNCTION("GOOGLETRANSLATE(H689,""he"",""en"")"),"Yoplait")</f>
        <v>Yoplait</v>
      </c>
      <c r="J689" s="105" t="s">
        <v>5031</v>
      </c>
      <c r="K689" s="105" t="str">
        <f>IFERROR(__xludf.DUMMYFUNCTION("GOOGLETRANSLATE(J689,""he"",""en"")"),"Yoplait yogurt drink Banana Peach")</f>
        <v>Yoplait yogurt drink Banana Peach</v>
      </c>
      <c r="L689" s="104" t="s">
        <v>5035</v>
      </c>
      <c r="M689" s="105" t="s">
        <v>6374</v>
      </c>
      <c r="N689" s="108" t="s">
        <v>6380</v>
      </c>
      <c r="O689" s="109"/>
      <c r="P689" s="109"/>
      <c r="Q689" s="115" t="s">
        <v>5034</v>
      </c>
      <c r="R689" s="116"/>
      <c r="S689" s="117"/>
      <c r="T689" s="118"/>
      <c r="U689" s="117"/>
      <c r="V689" s="102"/>
      <c r="W689" s="102"/>
      <c r="X689" s="102"/>
      <c r="Y689" s="102"/>
      <c r="Z689" s="102"/>
      <c r="AA689" s="102"/>
      <c r="AB689" s="102"/>
      <c r="AC689" s="113"/>
      <c r="AD689" s="113"/>
      <c r="AE689" s="113"/>
    </row>
    <row r="690">
      <c r="A690" s="114">
        <v>55329.0</v>
      </c>
      <c r="B690" s="104" t="str">
        <f t="shared" si="1"/>
        <v>Yoplait_Yoplait yogurt drink strawberry hotel</v>
      </c>
      <c r="C690" s="105">
        <v>0.06</v>
      </c>
      <c r="D690" s="105">
        <v>0.16</v>
      </c>
      <c r="E690" s="105">
        <v>0.055</v>
      </c>
      <c r="F690" s="106">
        <f>ROUND('Meta data'!$B$1/E690,0)</f>
        <v>5</v>
      </c>
      <c r="G690" s="107"/>
      <c r="H690" s="105" t="s">
        <v>1664</v>
      </c>
      <c r="I690" s="105" t="str">
        <f>IFERROR(__xludf.DUMMYFUNCTION("GOOGLETRANSLATE(H690,""he"",""en"")"),"Yoplait")</f>
        <v>Yoplait</v>
      </c>
      <c r="J690" s="105" t="s">
        <v>5037</v>
      </c>
      <c r="K690" s="105" t="str">
        <f>IFERROR(__xludf.DUMMYFUNCTION("GOOGLETRANSLATE(J690,""he"",""en"")"),"Yoplait yogurt drink strawberry hotel")</f>
        <v>Yoplait yogurt drink strawberry hotel</v>
      </c>
      <c r="L690" s="104" t="s">
        <v>5041</v>
      </c>
      <c r="M690" s="105" t="s">
        <v>6374</v>
      </c>
      <c r="N690" s="108" t="s">
        <v>6380</v>
      </c>
      <c r="O690" s="109"/>
      <c r="P690" s="109"/>
      <c r="Q690" s="115" t="s">
        <v>5040</v>
      </c>
      <c r="R690" s="116"/>
      <c r="S690" s="117"/>
      <c r="T690" s="118"/>
      <c r="U690" s="117"/>
      <c r="V690" s="102"/>
      <c r="W690" s="102"/>
      <c r="X690" s="102"/>
      <c r="Y690" s="102"/>
      <c r="Z690" s="102"/>
      <c r="AA690" s="102"/>
      <c r="AB690" s="102"/>
      <c r="AC690" s="113"/>
      <c r="AD690" s="113"/>
      <c r="AE690" s="113"/>
    </row>
    <row r="691">
      <c r="A691" s="114">
        <v>7.290110323066E12</v>
      </c>
      <c r="B691" s="104" t="str">
        <f t="shared" si="1"/>
        <v>Yoplait_Go banana peach drink</v>
      </c>
      <c r="C691" s="105">
        <v>0.062</v>
      </c>
      <c r="D691" s="105">
        <v>0.173</v>
      </c>
      <c r="E691" s="105">
        <v>0.075</v>
      </c>
      <c r="F691" s="106">
        <f>ROUND('Meta data'!$B$1/E691,0)</f>
        <v>4</v>
      </c>
      <c r="G691" s="107"/>
      <c r="H691" s="105" t="s">
        <v>1664</v>
      </c>
      <c r="I691" s="105" t="str">
        <f>IFERROR(__xludf.DUMMYFUNCTION("GOOGLETRANSLATE(H691,""he"",""en"")"),"Yoplait")</f>
        <v>Yoplait</v>
      </c>
      <c r="J691" s="105" t="s">
        <v>1666</v>
      </c>
      <c r="K691" s="105" t="str">
        <f>IFERROR(__xludf.DUMMYFUNCTION("GOOGLETRANSLATE(J691,""he"",""en"")"),"Go banana peach drink")</f>
        <v>Go banana peach drink</v>
      </c>
      <c r="L691" s="104" t="s">
        <v>1670</v>
      </c>
      <c r="M691" s="105" t="s">
        <v>6374</v>
      </c>
      <c r="N691" s="108" t="s">
        <v>6380</v>
      </c>
      <c r="O691" s="109"/>
      <c r="P691" s="109"/>
      <c r="Q691" s="111" t="s">
        <v>1669</v>
      </c>
      <c r="R691" s="111"/>
      <c r="S691" s="112"/>
      <c r="T691" s="118"/>
      <c r="U691" s="112"/>
      <c r="V691" s="102"/>
      <c r="W691" s="102"/>
      <c r="X691" s="102"/>
      <c r="Y691" s="102"/>
      <c r="Z691" s="102"/>
      <c r="AA691" s="102"/>
      <c r="AB691" s="102"/>
      <c r="AC691" s="113"/>
      <c r="AD691" s="113"/>
      <c r="AE691" s="113"/>
    </row>
    <row r="692">
      <c r="A692" s="114">
        <v>7.290110323073E12</v>
      </c>
      <c r="B692" s="104" t="str">
        <f t="shared" si="1"/>
        <v>Yoplait_Go strawberry, raspberry drink</v>
      </c>
      <c r="C692" s="105">
        <v>0.062</v>
      </c>
      <c r="D692" s="105">
        <v>0.173</v>
      </c>
      <c r="E692" s="105">
        <v>0.075</v>
      </c>
      <c r="F692" s="106">
        <f>ROUND('Meta data'!$B$1/E692,0)</f>
        <v>4</v>
      </c>
      <c r="G692" s="107"/>
      <c r="H692" s="105" t="s">
        <v>1664</v>
      </c>
      <c r="I692" s="105" t="str">
        <f>IFERROR(__xludf.DUMMYFUNCTION("GOOGLETRANSLATE(H692,""he"",""en"")"),"Yoplait")</f>
        <v>Yoplait</v>
      </c>
      <c r="J692" s="105" t="s">
        <v>1673</v>
      </c>
      <c r="K692" s="105" t="str">
        <f>IFERROR(__xludf.DUMMYFUNCTION("GOOGLETRANSLATE(J692,""he"",""en"")"),"Go strawberry, raspberry drink")</f>
        <v>Go strawberry, raspberry drink</v>
      </c>
      <c r="L692" s="104" t="s">
        <v>1677</v>
      </c>
      <c r="M692" s="105" t="s">
        <v>6374</v>
      </c>
      <c r="N692" s="108" t="s">
        <v>6380</v>
      </c>
      <c r="O692" s="109"/>
      <c r="P692" s="109"/>
      <c r="Q692" s="111" t="s">
        <v>1676</v>
      </c>
      <c r="R692" s="111"/>
      <c r="S692" s="112"/>
      <c r="T692" s="102"/>
      <c r="U692" s="102"/>
      <c r="V692" s="102"/>
      <c r="W692" s="102"/>
      <c r="X692" s="102"/>
      <c r="Y692" s="102"/>
      <c r="Z692" s="102"/>
      <c r="AA692" s="102"/>
      <c r="AB692" s="102"/>
      <c r="AC692" s="113"/>
      <c r="AD692" s="113"/>
      <c r="AE692" s="113"/>
    </row>
    <row r="693">
      <c r="A693" s="114">
        <v>7.290107932134E12</v>
      </c>
      <c r="B693" s="104" t="str">
        <f t="shared" si="1"/>
        <v>Yotvata_1% milk enriched bottle 1 liter</v>
      </c>
      <c r="C693" s="105">
        <v>0.08</v>
      </c>
      <c r="D693" s="105">
        <v>0.232</v>
      </c>
      <c r="E693" s="105">
        <v>0.07</v>
      </c>
      <c r="F693" s="106">
        <f>ROUND('Meta data'!$B$1/E693,0)</f>
        <v>4</v>
      </c>
      <c r="G693" s="107"/>
      <c r="H693" s="105" t="s">
        <v>695</v>
      </c>
      <c r="I693" s="105" t="str">
        <f>IFERROR(__xludf.DUMMYFUNCTION("GOOGLETRANSLATE(H693,""he"",""en"")"),"Yotvata")</f>
        <v>Yotvata</v>
      </c>
      <c r="J693" s="105" t="s">
        <v>2790</v>
      </c>
      <c r="K693" s="105" t="str">
        <f>IFERROR(__xludf.DUMMYFUNCTION("GOOGLETRANSLATE(J693,""he"",""en"")"),"1% milk enriched bottle 1 liter")</f>
        <v>1% milk enriched bottle 1 liter</v>
      </c>
      <c r="L693" s="104" t="s">
        <v>2794</v>
      </c>
      <c r="M693" s="105" t="s">
        <v>6626</v>
      </c>
      <c r="N693" s="108" t="s">
        <v>6628</v>
      </c>
      <c r="O693" s="109"/>
      <c r="P693" s="109"/>
      <c r="Q693" s="115" t="s">
        <v>2793</v>
      </c>
      <c r="R693" s="116"/>
      <c r="S693" s="117"/>
      <c r="T693" s="118"/>
      <c r="U693" s="117"/>
      <c r="V693" s="102"/>
      <c r="W693" s="102"/>
      <c r="X693" s="102"/>
      <c r="Y693" s="102"/>
      <c r="Z693" s="102"/>
      <c r="AA693" s="102"/>
      <c r="AB693" s="102"/>
      <c r="AC693" s="113"/>
      <c r="AD693" s="113"/>
      <c r="AE693" s="113"/>
    </row>
    <row r="694">
      <c r="A694" s="114">
        <v>7.29010793208E12</v>
      </c>
      <c r="B694" s="104" t="str">
        <f t="shared" si="1"/>
        <v>Yotvata_3% milk enriched bottle 1 liter</v>
      </c>
      <c r="C694" s="105">
        <v>0.08</v>
      </c>
      <c r="D694" s="105">
        <v>0.23</v>
      </c>
      <c r="E694" s="105">
        <v>0.08</v>
      </c>
      <c r="F694" s="106">
        <f>ROUND('Meta data'!$B$1/E694,0)</f>
        <v>4</v>
      </c>
      <c r="G694" s="107"/>
      <c r="H694" s="105" t="s">
        <v>695</v>
      </c>
      <c r="I694" s="105" t="str">
        <f>IFERROR(__xludf.DUMMYFUNCTION("GOOGLETRANSLATE(H694,""he"",""en"")"),"Yotvata")</f>
        <v>Yotvata</v>
      </c>
      <c r="J694" s="105" t="s">
        <v>2804</v>
      </c>
      <c r="K694" s="105" t="str">
        <f>IFERROR(__xludf.DUMMYFUNCTION("GOOGLETRANSLATE(J694,""he"",""en"")"),"3% milk enriched bottle 1 liter")</f>
        <v>3% milk enriched bottle 1 liter</v>
      </c>
      <c r="L694" s="104" t="s">
        <v>2808</v>
      </c>
      <c r="M694" s="105" t="s">
        <v>6626</v>
      </c>
      <c r="N694" s="108" t="s">
        <v>6628</v>
      </c>
      <c r="O694" s="109"/>
      <c r="P694" s="109"/>
      <c r="Q694" s="115" t="s">
        <v>2807</v>
      </c>
      <c r="R694" s="116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  <c r="AC694" s="113"/>
      <c r="AD694" s="113"/>
      <c r="AE694" s="113"/>
    </row>
    <row r="695">
      <c r="A695" s="114">
        <v>7.290107933315E12</v>
      </c>
      <c r="B695" s="104" t="str">
        <f t="shared" si="1"/>
        <v>Yotvata_Yotvata low-lactose milk enriched bottle 1 liter 2%</v>
      </c>
      <c r="C695" s="105">
        <v>0.073</v>
      </c>
      <c r="D695" s="105">
        <v>0.232</v>
      </c>
      <c r="E695" s="105">
        <v>0.075</v>
      </c>
      <c r="F695" s="106">
        <f>ROUND('Meta data'!$B$1/E695,0)</f>
        <v>4</v>
      </c>
      <c r="G695" s="107"/>
      <c r="H695" s="105" t="s">
        <v>695</v>
      </c>
      <c r="I695" s="105" t="str">
        <f>IFERROR(__xludf.DUMMYFUNCTION("GOOGLETRANSLATE(H695,""he"",""en"")"),"Yotvata")</f>
        <v>Yotvata</v>
      </c>
      <c r="J695" s="105" t="s">
        <v>2775</v>
      </c>
      <c r="K695" s="105" t="str">
        <f>IFERROR(__xludf.DUMMYFUNCTION("GOOGLETRANSLATE(J695,""he"",""en"")"),"Yotvata low-lactose milk enriched bottle 1 liter 2%")</f>
        <v>Yotvata low-lactose milk enriched bottle 1 liter 2%</v>
      </c>
      <c r="L695" s="104" t="s">
        <v>2779</v>
      </c>
      <c r="M695" s="105" t="s">
        <v>6626</v>
      </c>
      <c r="N695" s="108" t="s">
        <v>6628</v>
      </c>
      <c r="O695" s="109"/>
      <c r="P695" s="109"/>
      <c r="Q695" s="115" t="s">
        <v>2778</v>
      </c>
      <c r="R695" s="116"/>
      <c r="S695" s="117"/>
      <c r="T695" s="117"/>
      <c r="U695" s="117"/>
      <c r="V695" s="102"/>
      <c r="W695" s="102"/>
      <c r="X695" s="102"/>
      <c r="Y695" s="102"/>
      <c r="Z695" s="102"/>
      <c r="AA695" s="102"/>
      <c r="AB695" s="102"/>
      <c r="AC695" s="113"/>
      <c r="AD695" s="113"/>
      <c r="AE695" s="113"/>
    </row>
    <row r="696">
      <c r="A696" s="114">
        <v>3029907.0</v>
      </c>
      <c r="B696" s="104" t="str">
        <f t="shared" si="1"/>
        <v>Yotvata_Flavored milk drink 1 liter of iced coffee</v>
      </c>
      <c r="C696" s="105">
        <v>0.08</v>
      </c>
      <c r="D696" s="105">
        <v>0.26</v>
      </c>
      <c r="E696" s="105">
        <v>0.08</v>
      </c>
      <c r="F696" s="106">
        <f>ROUND('Meta data'!$B$1/E696,0)</f>
        <v>4</v>
      </c>
      <c r="G696" s="107"/>
      <c r="H696" s="105" t="s">
        <v>695</v>
      </c>
      <c r="I696" s="105" t="str">
        <f>IFERROR(__xludf.DUMMYFUNCTION("GOOGLETRANSLATE(H696,""he"",""en"")"),"Yotvata")</f>
        <v>Yotvata</v>
      </c>
      <c r="J696" s="105" t="s">
        <v>5044</v>
      </c>
      <c r="K696" s="105" t="str">
        <f>IFERROR(__xludf.DUMMYFUNCTION("GOOGLETRANSLATE(J696,""he"",""en"")"),"Flavored milk drink 1 liter of iced coffee")</f>
        <v>Flavored milk drink 1 liter of iced coffee</v>
      </c>
      <c r="L696" s="104" t="s">
        <v>5048</v>
      </c>
      <c r="M696" s="105" t="s">
        <v>6378</v>
      </c>
      <c r="N696" s="108" t="s">
        <v>6635</v>
      </c>
      <c r="O696" s="109"/>
      <c r="P696" s="109"/>
      <c r="Q696" s="111" t="s">
        <v>5047</v>
      </c>
      <c r="R696" s="115"/>
      <c r="S696" s="112"/>
      <c r="T696" s="102"/>
      <c r="U696" s="102"/>
      <c r="V696" s="102"/>
      <c r="W696" s="102"/>
      <c r="X696" s="102"/>
      <c r="Y696" s="102"/>
      <c r="Z696" s="102"/>
      <c r="AA696" s="102"/>
      <c r="AB696" s="102"/>
      <c r="AC696" s="113"/>
      <c r="AD696" s="113"/>
      <c r="AE696" s="113"/>
    </row>
    <row r="697">
      <c r="A697" s="114">
        <v>3029532.0</v>
      </c>
      <c r="B697" s="104" t="str">
        <f t="shared" si="1"/>
        <v>Yotvata_Mocha-flavored milk drink 1 liter</v>
      </c>
      <c r="C697" s="105">
        <v>0.08</v>
      </c>
      <c r="D697" s="105">
        <v>0.26</v>
      </c>
      <c r="E697" s="105">
        <v>0.075</v>
      </c>
      <c r="F697" s="106">
        <f>ROUND('Meta data'!$B$1/E697,0)</f>
        <v>4</v>
      </c>
      <c r="G697" s="107"/>
      <c r="H697" s="105" t="s">
        <v>695</v>
      </c>
      <c r="I697" s="105" t="str">
        <f>IFERROR(__xludf.DUMMYFUNCTION("GOOGLETRANSLATE(H697,""he"",""en"")"),"Yotvata")</f>
        <v>Yotvata</v>
      </c>
      <c r="J697" s="105" t="s">
        <v>5050</v>
      </c>
      <c r="K697" s="105" t="str">
        <f>IFERROR(__xludf.DUMMYFUNCTION("GOOGLETRANSLATE(J697,""he"",""en"")"),"Mocha-flavored milk drink 1 liter")</f>
        <v>Mocha-flavored milk drink 1 liter</v>
      </c>
      <c r="L697" s="104" t="s">
        <v>5054</v>
      </c>
      <c r="M697" s="105" t="s">
        <v>6378</v>
      </c>
      <c r="N697" s="108" t="s">
        <v>6635</v>
      </c>
      <c r="O697" s="109"/>
      <c r="P697" s="109"/>
      <c r="Q697" s="111" t="s">
        <v>5053</v>
      </c>
      <c r="R697" s="111"/>
      <c r="S697" s="112"/>
      <c r="T697" s="118"/>
      <c r="U697" s="112"/>
      <c r="V697" s="102"/>
      <c r="W697" s="102"/>
      <c r="X697" s="102"/>
      <c r="Y697" s="102"/>
      <c r="Z697" s="102"/>
      <c r="AA697" s="102"/>
      <c r="AB697" s="102"/>
      <c r="AC697" s="113"/>
      <c r="AD697" s="113"/>
      <c r="AE697" s="113"/>
    </row>
    <row r="698">
      <c r="A698" s="114">
        <v>3029181.0</v>
      </c>
      <c r="B698" s="104" t="str">
        <f t="shared" si="1"/>
        <v>Yotvata_Yotvata chocolate milk 1 liter</v>
      </c>
      <c r="C698" s="105">
        <v>0.08</v>
      </c>
      <c r="D698" s="105">
        <v>0.26</v>
      </c>
      <c r="E698" s="105">
        <v>0.075</v>
      </c>
      <c r="F698" s="106">
        <f>ROUND('Meta data'!$B$1/E698,0)</f>
        <v>4</v>
      </c>
      <c r="G698" s="107"/>
      <c r="H698" s="105" t="s">
        <v>695</v>
      </c>
      <c r="I698" s="105" t="str">
        <f>IFERROR(__xludf.DUMMYFUNCTION("GOOGLETRANSLATE(H698,""he"",""en"")"),"Yotvata")</f>
        <v>Yotvata</v>
      </c>
      <c r="J698" s="105" t="s">
        <v>5056</v>
      </c>
      <c r="K698" s="105" t="str">
        <f>IFERROR(__xludf.DUMMYFUNCTION("GOOGLETRANSLATE(J698,""he"",""en"")"),"Yotvata chocolate milk 1 liter")</f>
        <v>Yotvata chocolate milk 1 liter</v>
      </c>
      <c r="L698" s="104" t="s">
        <v>5060</v>
      </c>
      <c r="M698" s="105" t="s">
        <v>6378</v>
      </c>
      <c r="N698" s="108" t="s">
        <v>6635</v>
      </c>
      <c r="O698" s="109"/>
      <c r="P698" s="109"/>
      <c r="Q698" s="111" t="s">
        <v>5059</v>
      </c>
      <c r="R698" s="115"/>
      <c r="S698" s="112"/>
      <c r="T698" s="102"/>
      <c r="U698" s="102"/>
      <c r="V698" s="102"/>
      <c r="W698" s="102"/>
      <c r="X698" s="102"/>
      <c r="Y698" s="102"/>
      <c r="Z698" s="102"/>
      <c r="AA698" s="102"/>
      <c r="AB698" s="102"/>
      <c r="AC698" s="113"/>
      <c r="AD698" s="113"/>
      <c r="AE698" s="113"/>
    </row>
    <row r="699">
      <c r="A699" s="114">
        <v>7.29011234342E12</v>
      </c>
      <c r="B699" s="104" t="str">
        <f t="shared" si="1"/>
        <v>Yotvata_Breakfast pro Yotvata 350 ml</v>
      </c>
      <c r="C699" s="105">
        <v>0.062</v>
      </c>
      <c r="D699" s="105">
        <v>0.173</v>
      </c>
      <c r="E699" s="105">
        <v>0.065</v>
      </c>
      <c r="F699" s="106">
        <f>ROUND('Meta data'!$B$1/E699,0)</f>
        <v>5</v>
      </c>
      <c r="G699" s="107"/>
      <c r="H699" s="105" t="s">
        <v>695</v>
      </c>
      <c r="I699" s="105" t="str">
        <f>IFERROR(__xludf.DUMMYFUNCTION("GOOGLETRANSLATE(H699,""he"",""en"")"),"Yotvata")</f>
        <v>Yotvata</v>
      </c>
      <c r="J699" s="105" t="s">
        <v>3902</v>
      </c>
      <c r="K699" s="105" t="str">
        <f>IFERROR(__xludf.DUMMYFUNCTION("GOOGLETRANSLATE(J699,""he"",""en"")"),"Breakfast pro Yotvata 350 ml")</f>
        <v>Breakfast pro Yotvata 350 ml</v>
      </c>
      <c r="L699" s="104" t="s">
        <v>3906</v>
      </c>
      <c r="M699" s="105" t="s">
        <v>6378</v>
      </c>
      <c r="N699" s="108" t="s">
        <v>6379</v>
      </c>
      <c r="O699" s="109"/>
      <c r="P699" s="109"/>
      <c r="Q699" s="111" t="s">
        <v>3905</v>
      </c>
      <c r="R699" s="111"/>
      <c r="S699" s="112"/>
      <c r="T699" s="112"/>
      <c r="U699" s="112"/>
      <c r="V699" s="102"/>
      <c r="W699" s="102"/>
      <c r="X699" s="102"/>
      <c r="Y699" s="102"/>
      <c r="Z699" s="102"/>
      <c r="AA699" s="102"/>
      <c r="AB699" s="102"/>
      <c r="AC699" s="113"/>
      <c r="AD699" s="113"/>
      <c r="AE699" s="113"/>
    </row>
    <row r="700">
      <c r="A700" s="114">
        <v>7.290110565497E12</v>
      </c>
      <c r="B700" s="104" t="str">
        <f t="shared" si="1"/>
        <v>Yotvata_Peru Yotvata coffee sugar 250 ml</v>
      </c>
      <c r="C700" s="105">
        <v>0.062</v>
      </c>
      <c r="D700" s="105">
        <v>0.173</v>
      </c>
      <c r="E700" s="105">
        <v>0.075</v>
      </c>
      <c r="F700" s="106">
        <f>ROUND('Meta data'!$B$1/E700,0)</f>
        <v>4</v>
      </c>
      <c r="G700" s="107"/>
      <c r="H700" s="105" t="s">
        <v>695</v>
      </c>
      <c r="I700" s="105" t="str">
        <f>IFERROR(__xludf.DUMMYFUNCTION("GOOGLETRANSLATE(H700,""he"",""en"")"),"Yotvata")</f>
        <v>Yotvata</v>
      </c>
      <c r="J700" s="105" t="s">
        <v>3896</v>
      </c>
      <c r="K700" s="105" t="str">
        <f>IFERROR(__xludf.DUMMYFUNCTION("GOOGLETRANSLATE(J700,""he"",""en"")"),"Peru Yotvata coffee sugar 250 ml")</f>
        <v>Peru Yotvata coffee sugar 250 ml</v>
      </c>
      <c r="L700" s="104" t="s">
        <v>3900</v>
      </c>
      <c r="M700" s="105" t="s">
        <v>6378</v>
      </c>
      <c r="N700" s="108" t="s">
        <v>6379</v>
      </c>
      <c r="O700" s="109"/>
      <c r="P700" s="109"/>
      <c r="Q700" s="111" t="s">
        <v>3899</v>
      </c>
      <c r="R700" s="111"/>
      <c r="S700" s="112"/>
      <c r="T700" s="118"/>
      <c r="U700" s="112"/>
      <c r="V700" s="102"/>
      <c r="W700" s="102"/>
      <c r="X700" s="102"/>
      <c r="Y700" s="102"/>
      <c r="Z700" s="102"/>
      <c r="AA700" s="102"/>
      <c r="AB700" s="102"/>
      <c r="AC700" s="113"/>
      <c r="AD700" s="113"/>
      <c r="AE700" s="113"/>
    </row>
    <row r="701">
      <c r="A701" s="114">
        <v>7.290014763678E12</v>
      </c>
      <c r="B701" s="104" t="str">
        <f t="shared" si="1"/>
        <v>Yotvata_GO drink Vanilla 250 ml</v>
      </c>
      <c r="C701" s="105">
        <v>0.07</v>
      </c>
      <c r="D701" s="105">
        <v>0.15</v>
      </c>
      <c r="E701" s="105">
        <v>0.075</v>
      </c>
      <c r="F701" s="106">
        <f>ROUND('Meta data'!$B$1/E701,0)</f>
        <v>4</v>
      </c>
      <c r="G701" s="107"/>
      <c r="H701" s="105" t="s">
        <v>695</v>
      </c>
      <c r="I701" s="105" t="str">
        <f>IFERROR(__xludf.DUMMYFUNCTION("GOOGLETRANSLATE(H701,""he"",""en"")"),"Yotvata")</f>
        <v>Yotvata</v>
      </c>
      <c r="J701" s="105" t="s">
        <v>1718</v>
      </c>
      <c r="K701" s="105" t="str">
        <f>IFERROR(__xludf.DUMMYFUNCTION("GOOGLETRANSLATE(J701,""he"",""en"")"),"GO drink Vanilla 250 ml")</f>
        <v>GO drink Vanilla 250 ml</v>
      </c>
      <c r="L701" s="104" t="s">
        <v>1722</v>
      </c>
      <c r="M701" s="105" t="s">
        <v>6378</v>
      </c>
      <c r="N701" s="108" t="s">
        <v>6379</v>
      </c>
      <c r="O701" s="109"/>
      <c r="P701" s="109"/>
      <c r="Q701" s="115" t="s">
        <v>1721</v>
      </c>
      <c r="R701" s="116"/>
      <c r="S701" s="117"/>
      <c r="T701" s="118"/>
      <c r="U701" s="117"/>
      <c r="V701" s="102"/>
      <c r="W701" s="102"/>
      <c r="X701" s="102"/>
      <c r="Y701" s="102"/>
      <c r="Z701" s="102"/>
      <c r="AA701" s="102"/>
      <c r="AB701" s="102"/>
      <c r="AC701" s="113"/>
      <c r="AD701" s="113"/>
      <c r="AE701" s="113"/>
    </row>
    <row r="702">
      <c r="A702" s="114">
        <v>7.290011438142E12</v>
      </c>
      <c r="B702" s="104" t="str">
        <f t="shared" si="1"/>
        <v>Yotvata_Iced coffee milk drink 350 ml</v>
      </c>
      <c r="C702" s="105">
        <v>0.06</v>
      </c>
      <c r="D702" s="105">
        <v>0.17</v>
      </c>
      <c r="E702" s="105">
        <v>0.065</v>
      </c>
      <c r="F702" s="106">
        <f>ROUND('Meta data'!$B$1/E702,0)</f>
        <v>5</v>
      </c>
      <c r="G702" s="107"/>
      <c r="H702" s="105" t="s">
        <v>695</v>
      </c>
      <c r="I702" s="105" t="str">
        <f>IFERROR(__xludf.DUMMYFUNCTION("GOOGLETRANSLATE(H702,""he"",""en"")"),"Yotvata")</f>
        <v>Yotvata</v>
      </c>
      <c r="J702" s="105" t="s">
        <v>5069</v>
      </c>
      <c r="K702" s="105" t="str">
        <f>IFERROR(__xludf.DUMMYFUNCTION("GOOGLETRANSLATE(J702,""he"",""en"")"),"Iced coffee milk drink 350 ml")</f>
        <v>Iced coffee milk drink 350 ml</v>
      </c>
      <c r="L702" s="104" t="s">
        <v>5073</v>
      </c>
      <c r="M702" s="105" t="s">
        <v>6378</v>
      </c>
      <c r="N702" s="108" t="s">
        <v>6379</v>
      </c>
      <c r="O702" s="109"/>
      <c r="P702" s="109"/>
      <c r="Q702" s="115" t="s">
        <v>5072</v>
      </c>
      <c r="R702" s="116"/>
      <c r="S702" s="117"/>
      <c r="T702" s="118"/>
      <c r="U702" s="117"/>
      <c r="V702" s="102"/>
      <c r="W702" s="102"/>
      <c r="X702" s="102"/>
      <c r="Y702" s="102"/>
      <c r="Z702" s="102"/>
      <c r="AA702" s="102"/>
      <c r="AB702" s="102"/>
      <c r="AC702" s="113"/>
      <c r="AD702" s="113"/>
      <c r="AE702" s="113"/>
    </row>
    <row r="703">
      <c r="A703" s="114">
        <v>7.290112341112E12</v>
      </c>
      <c r="B703" s="104" t="str">
        <f t="shared" si="1"/>
        <v>Yotvata_Mocha-flavored milk drink 350 ml</v>
      </c>
      <c r="C703" s="105">
        <v>0.06</v>
      </c>
      <c r="D703" s="105">
        <v>0.17</v>
      </c>
      <c r="E703" s="105">
        <v>0.055</v>
      </c>
      <c r="F703" s="106">
        <f>ROUND('Meta data'!$B$1/E703,0)</f>
        <v>5</v>
      </c>
      <c r="G703" s="107"/>
      <c r="H703" s="105" t="s">
        <v>695</v>
      </c>
      <c r="I703" s="105" t="str">
        <f>IFERROR(__xludf.DUMMYFUNCTION("GOOGLETRANSLATE(H703,""he"",""en"")"),"Yotvata")</f>
        <v>Yotvata</v>
      </c>
      <c r="J703" s="105" t="s">
        <v>5075</v>
      </c>
      <c r="K703" s="105" t="str">
        <f>IFERROR(__xludf.DUMMYFUNCTION("GOOGLETRANSLATE(J703,""he"",""en"")"),"Mocha-flavored milk drink 350 ml")</f>
        <v>Mocha-flavored milk drink 350 ml</v>
      </c>
      <c r="L703" s="104" t="s">
        <v>5079</v>
      </c>
      <c r="M703" s="105" t="s">
        <v>6378</v>
      </c>
      <c r="N703" s="108" t="s">
        <v>6379</v>
      </c>
      <c r="O703" s="109"/>
      <c r="P703" s="109"/>
      <c r="Q703" s="115" t="s">
        <v>5078</v>
      </c>
      <c r="R703" s="116"/>
      <c r="S703" s="117"/>
      <c r="T703" s="118"/>
      <c r="U703" s="117"/>
      <c r="V703" s="102"/>
      <c r="W703" s="102"/>
      <c r="X703" s="102"/>
      <c r="Y703" s="102"/>
      <c r="Z703" s="102"/>
      <c r="AA703" s="102"/>
      <c r="AB703" s="102"/>
      <c r="AC703" s="113"/>
      <c r="AD703" s="113"/>
      <c r="AE703" s="113"/>
    </row>
    <row r="704">
      <c r="A704" s="114">
        <v>7.290107933643E12</v>
      </c>
      <c r="B704" s="104" t="str">
        <f t="shared" si="1"/>
        <v>Yotvata_Drink milk with cereal and banana 250 ml</v>
      </c>
      <c r="C704" s="105">
        <v>0.06</v>
      </c>
      <c r="D704" s="105">
        <v>0.16</v>
      </c>
      <c r="E704" s="105">
        <v>0.04</v>
      </c>
      <c r="F704" s="106">
        <f>ROUND('Meta data'!$B$1/E704,0)</f>
        <v>8</v>
      </c>
      <c r="G704" s="107"/>
      <c r="H704" s="105" t="s">
        <v>695</v>
      </c>
      <c r="I704" s="105" t="str">
        <f>IFERROR(__xludf.DUMMYFUNCTION("GOOGLETRANSLATE(H704,""he"",""en"")"),"Yotvata")</f>
        <v>Yotvata</v>
      </c>
      <c r="J704" s="105" t="s">
        <v>4300</v>
      </c>
      <c r="K704" s="105" t="str">
        <f>IFERROR(__xludf.DUMMYFUNCTION("GOOGLETRANSLATE(J704,""he"",""en"")"),"Drink milk with cereal and banana 250 ml")</f>
        <v>Drink milk with cereal and banana 250 ml</v>
      </c>
      <c r="L704" s="104" t="s">
        <v>4304</v>
      </c>
      <c r="M704" s="105" t="s">
        <v>6378</v>
      </c>
      <c r="N704" s="108" t="s">
        <v>6379</v>
      </c>
      <c r="O704" s="109"/>
      <c r="P704" s="109"/>
      <c r="Q704" s="115" t="s">
        <v>4303</v>
      </c>
      <c r="R704" s="116"/>
      <c r="S704" s="117"/>
      <c r="T704" s="117"/>
      <c r="U704" s="117"/>
      <c r="V704" s="118"/>
      <c r="W704" s="102"/>
      <c r="X704" s="102"/>
      <c r="Y704" s="102"/>
      <c r="Z704" s="102"/>
      <c r="AA704" s="102"/>
      <c r="AB704" s="102"/>
      <c r="AC704" s="113"/>
      <c r="AD704" s="113"/>
      <c r="AE704" s="113"/>
    </row>
    <row r="705">
      <c r="A705" s="114">
        <v>7.29010793365E12</v>
      </c>
      <c r="B705" s="104" t="str">
        <f t="shared" si="1"/>
        <v>Yotvata_Milk drink with strawberries and oat control</v>
      </c>
      <c r="C705" s="105">
        <v>0.055</v>
      </c>
      <c r="D705" s="105">
        <v>0.16</v>
      </c>
      <c r="E705" s="105">
        <v>0.04</v>
      </c>
      <c r="F705" s="106">
        <f>ROUND('Meta data'!$B$1/E705,0)</f>
        <v>8</v>
      </c>
      <c r="G705" s="107"/>
      <c r="H705" s="105" t="s">
        <v>695</v>
      </c>
      <c r="I705" s="105" t="str">
        <f>IFERROR(__xludf.DUMMYFUNCTION("GOOGLETRANSLATE(H705,""he"",""en"")"),"Yotvata")</f>
        <v>Yotvata</v>
      </c>
      <c r="J705" s="105" t="s">
        <v>4306</v>
      </c>
      <c r="K705" s="105" t="str">
        <f>IFERROR(__xludf.DUMMYFUNCTION("GOOGLETRANSLATE(J705,""he"",""en"")"),"Milk drink with strawberries and oat control")</f>
        <v>Milk drink with strawberries and oat control</v>
      </c>
      <c r="L705" s="104" t="s">
        <v>4310</v>
      </c>
      <c r="M705" s="105" t="s">
        <v>6378</v>
      </c>
      <c r="N705" s="108" t="s">
        <v>6379</v>
      </c>
      <c r="O705" s="109"/>
      <c r="P705" s="109"/>
      <c r="Q705" s="115" t="s">
        <v>4309</v>
      </c>
      <c r="R705" s="115"/>
      <c r="S705" s="117"/>
      <c r="T705" s="102"/>
      <c r="U705" s="102"/>
      <c r="V705" s="102"/>
      <c r="W705" s="102"/>
      <c r="X705" s="102"/>
      <c r="Y705" s="102"/>
      <c r="Z705" s="102"/>
      <c r="AA705" s="102"/>
      <c r="AB705" s="102"/>
      <c r="AC705" s="113"/>
      <c r="AD705" s="113"/>
      <c r="AE705" s="113"/>
    </row>
    <row r="706">
      <c r="A706" s="114">
        <v>7.290107951395E12</v>
      </c>
      <c r="B706" s="104" t="str">
        <f t="shared" si="1"/>
        <v>Yotvata_Peru Yotvata drink Vanilla 250 ml</v>
      </c>
      <c r="C706" s="105">
        <v>0.055</v>
      </c>
      <c r="D706" s="105">
        <v>0.16</v>
      </c>
      <c r="E706" s="105">
        <v>0.055</v>
      </c>
      <c r="F706" s="106">
        <f>ROUND('Meta data'!$B$1/E706,0)</f>
        <v>5</v>
      </c>
      <c r="G706" s="107"/>
      <c r="H706" s="105" t="s">
        <v>695</v>
      </c>
      <c r="I706" s="105" t="str">
        <f>IFERROR(__xludf.DUMMYFUNCTION("GOOGLETRANSLATE(H706,""he"",""en"")"),"Yotvata")</f>
        <v>Yotvata</v>
      </c>
      <c r="J706" s="105" t="s">
        <v>3920</v>
      </c>
      <c r="K706" s="105" t="str">
        <f>IFERROR(__xludf.DUMMYFUNCTION("GOOGLETRANSLATE(J706,""he"",""en"")"),"Peru Yotvata drink Vanilla 250 ml")</f>
        <v>Peru Yotvata drink Vanilla 250 ml</v>
      </c>
      <c r="L706" s="104" t="s">
        <v>3924</v>
      </c>
      <c r="M706" s="105" t="s">
        <v>6378</v>
      </c>
      <c r="N706" s="108" t="s">
        <v>6379</v>
      </c>
      <c r="O706" s="109"/>
      <c r="P706" s="109"/>
      <c r="Q706" s="115" t="s">
        <v>3923</v>
      </c>
      <c r="R706" s="115"/>
      <c r="S706" s="117"/>
      <c r="T706" s="102"/>
      <c r="U706" s="102"/>
      <c r="V706" s="102"/>
      <c r="W706" s="102"/>
      <c r="X706" s="102"/>
      <c r="Y706" s="102"/>
      <c r="Z706" s="102"/>
      <c r="AA706" s="102"/>
      <c r="AB706" s="102"/>
      <c r="AC706" s="113"/>
      <c r="AD706" s="113"/>
      <c r="AE706" s="113"/>
    </row>
    <row r="707">
      <c r="A707" s="114">
        <v>7.290107951401E12</v>
      </c>
      <c r="B707" s="104" t="str">
        <f t="shared" si="1"/>
        <v>Yotvata_Peru Yotvata drink coffee 250</v>
      </c>
      <c r="C707" s="105">
        <v>0.055</v>
      </c>
      <c r="D707" s="105">
        <v>0.16</v>
      </c>
      <c r="E707" s="105">
        <v>0.055</v>
      </c>
      <c r="F707" s="106">
        <f>ROUND('Meta data'!$B$1/E707,0)</f>
        <v>5</v>
      </c>
      <c r="G707" s="107"/>
      <c r="H707" s="105" t="s">
        <v>695</v>
      </c>
      <c r="I707" s="105" t="str">
        <f>IFERROR(__xludf.DUMMYFUNCTION("GOOGLETRANSLATE(H707,""he"",""en"")"),"Yotvata")</f>
        <v>Yotvata</v>
      </c>
      <c r="J707" s="105" t="s">
        <v>3908</v>
      </c>
      <c r="K707" s="105" t="str">
        <f>IFERROR(__xludf.DUMMYFUNCTION("GOOGLETRANSLATE(J707,""he"",""en"")"),"Peru Yotvata drink coffee 250")</f>
        <v>Peru Yotvata drink coffee 250</v>
      </c>
      <c r="L707" s="104" t="s">
        <v>3912</v>
      </c>
      <c r="M707" s="105" t="s">
        <v>6378</v>
      </c>
      <c r="N707" s="108" t="s">
        <v>6379</v>
      </c>
      <c r="O707" s="109"/>
      <c r="P707" s="109"/>
      <c r="Q707" s="115" t="s">
        <v>3911</v>
      </c>
      <c r="R707" s="116"/>
      <c r="S707" s="117"/>
      <c r="T707" s="118"/>
      <c r="U707" s="117"/>
      <c r="V707" s="102"/>
      <c r="W707" s="102"/>
      <c r="X707" s="102"/>
      <c r="Y707" s="102"/>
      <c r="Z707" s="102"/>
      <c r="AA707" s="102"/>
      <c r="AB707" s="102"/>
      <c r="AC707" s="113"/>
      <c r="AD707" s="113"/>
      <c r="AE707" s="113"/>
    </row>
    <row r="708">
      <c r="A708" s="114">
        <v>7.290107954976E12</v>
      </c>
      <c r="B708" s="104" t="str">
        <f t="shared" si="1"/>
        <v>Yotvata_Peru Yotvata drink coffee 350</v>
      </c>
      <c r="C708" s="105">
        <v>0.06</v>
      </c>
      <c r="D708" s="105">
        <v>0.175</v>
      </c>
      <c r="E708" s="105">
        <v>0.06</v>
      </c>
      <c r="F708" s="106">
        <f>ROUND('Meta data'!$B$1/E708,0)</f>
        <v>5</v>
      </c>
      <c r="G708" s="107"/>
      <c r="H708" s="105" t="s">
        <v>695</v>
      </c>
      <c r="I708" s="105" t="str">
        <f>IFERROR(__xludf.DUMMYFUNCTION("GOOGLETRANSLATE(H708,""he"",""en"")"),"Yotvata")</f>
        <v>Yotvata</v>
      </c>
      <c r="J708" s="105" t="s">
        <v>3914</v>
      </c>
      <c r="K708" s="105" t="str">
        <f>IFERROR(__xludf.DUMMYFUNCTION("GOOGLETRANSLATE(J708,""he"",""en"")"),"Peru Yotvata drink coffee 350")</f>
        <v>Peru Yotvata drink coffee 350</v>
      </c>
      <c r="L708" s="104" t="s">
        <v>3918</v>
      </c>
      <c r="M708" s="105" t="s">
        <v>6378</v>
      </c>
      <c r="N708" s="108" t="s">
        <v>6379</v>
      </c>
      <c r="O708" s="109"/>
      <c r="P708" s="109"/>
      <c r="Q708" s="115" t="s">
        <v>3917</v>
      </c>
      <c r="R708" s="116"/>
      <c r="S708" s="117"/>
      <c r="T708" s="117"/>
      <c r="U708" s="102"/>
      <c r="V708" s="102"/>
      <c r="W708" s="102"/>
      <c r="X708" s="102"/>
      <c r="Y708" s="102"/>
      <c r="Z708" s="102"/>
      <c r="AA708" s="102"/>
      <c r="AB708" s="102"/>
      <c r="AC708" s="113"/>
      <c r="AD708" s="113"/>
      <c r="AE708" s="113"/>
    </row>
    <row r="709">
      <c r="A709" s="114">
        <v>7.290110563448E12</v>
      </c>
      <c r="B709" s="104" t="str">
        <f t="shared" si="1"/>
        <v>Yotvata_Cold coffee drink 230 ml refined style</v>
      </c>
      <c r="C709" s="105">
        <v>0.08</v>
      </c>
      <c r="D709" s="105">
        <v>0.13</v>
      </c>
      <c r="E709" s="105">
        <v>0.08</v>
      </c>
      <c r="F709" s="106">
        <f>ROUND('Meta data'!$B$1/E709,0)</f>
        <v>4</v>
      </c>
      <c r="G709" s="107"/>
      <c r="H709" s="105" t="s">
        <v>695</v>
      </c>
      <c r="I709" s="105" t="str">
        <f>IFERROR(__xludf.DUMMYFUNCTION("GOOGLETRANSLATE(H709,""he"",""en"")"),"Yotvata")</f>
        <v>Yotvata</v>
      </c>
      <c r="J709" s="105" t="s">
        <v>1887</v>
      </c>
      <c r="K709" s="105" t="str">
        <f>IFERROR(__xludf.DUMMYFUNCTION("GOOGLETRANSLATE(J709,""he"",""en"")"),"Cold coffee drink 230 ml refined style")</f>
        <v>Cold coffee drink 230 ml refined style</v>
      </c>
      <c r="L709" s="104" t="s">
        <v>1891</v>
      </c>
      <c r="M709" s="105" t="s">
        <v>6378</v>
      </c>
      <c r="N709" s="108" t="s">
        <v>6379</v>
      </c>
      <c r="O709" s="109"/>
      <c r="P709" s="109"/>
      <c r="Q709" s="111" t="s">
        <v>1890</v>
      </c>
      <c r="R709" s="115"/>
      <c r="S709" s="112"/>
      <c r="T709" s="102"/>
      <c r="U709" s="102"/>
      <c r="V709" s="102"/>
      <c r="W709" s="102"/>
      <c r="X709" s="102"/>
      <c r="Y709" s="102"/>
      <c r="Z709" s="102"/>
      <c r="AA709" s="102"/>
      <c r="AB709" s="102"/>
      <c r="AC709" s="113"/>
      <c r="AD709" s="113"/>
      <c r="AE709" s="113"/>
    </row>
    <row r="710">
      <c r="A710" s="114">
        <v>7.290110563431E12</v>
      </c>
      <c r="B710" s="104" t="str">
        <f t="shared" si="1"/>
        <v>Yotvata_Cold coffee drink in classic style, 230 ml</v>
      </c>
      <c r="C710" s="105">
        <v>0.08</v>
      </c>
      <c r="D710" s="105">
        <v>0.13</v>
      </c>
      <c r="E710" s="105">
        <v>0.08</v>
      </c>
      <c r="F710" s="106">
        <f>ROUND('Meta data'!$B$1/E710,0)</f>
        <v>4</v>
      </c>
      <c r="G710" s="107"/>
      <c r="H710" s="105" t="s">
        <v>695</v>
      </c>
      <c r="I710" s="105" t="str">
        <f>IFERROR(__xludf.DUMMYFUNCTION("GOOGLETRANSLATE(H710,""he"",""en"")"),"Yotvata")</f>
        <v>Yotvata</v>
      </c>
      <c r="J710" s="105" t="s">
        <v>1893</v>
      </c>
      <c r="K710" s="105" t="str">
        <f>IFERROR(__xludf.DUMMYFUNCTION("GOOGLETRANSLATE(J710,""he"",""en"")"),"Cold coffee drink in classic style, 230 ml")</f>
        <v>Cold coffee drink in classic style, 230 ml</v>
      </c>
      <c r="L710" s="104" t="s">
        <v>1897</v>
      </c>
      <c r="M710" s="105" t="s">
        <v>6378</v>
      </c>
      <c r="N710" s="108" t="s">
        <v>6379</v>
      </c>
      <c r="O710" s="109"/>
      <c r="P710" s="109"/>
      <c r="Q710" s="115" t="s">
        <v>1896</v>
      </c>
      <c r="R710" s="116"/>
      <c r="S710" s="117"/>
      <c r="T710" s="118"/>
      <c r="U710" s="117"/>
      <c r="V710" s="102"/>
      <c r="W710" s="102"/>
      <c r="X710" s="102"/>
      <c r="Y710" s="102"/>
      <c r="Z710" s="102"/>
      <c r="AA710" s="102"/>
      <c r="AB710" s="102"/>
      <c r="AC710" s="113"/>
      <c r="AD710" s="113"/>
      <c r="AE710" s="113"/>
    </row>
    <row r="711">
      <c r="A711" s="114">
        <v>7.290110564742E12</v>
      </c>
      <c r="B711" s="104" t="str">
        <f t="shared" si="1"/>
        <v>Yotvata_Cold coffee drink strong coffee ice Yotvata</v>
      </c>
      <c r="C711" s="105">
        <v>0.08</v>
      </c>
      <c r="D711" s="105">
        <v>0.13</v>
      </c>
      <c r="E711" s="105">
        <v>0.08</v>
      </c>
      <c r="F711" s="106">
        <f>ROUND('Meta data'!$B$1/E711,0)</f>
        <v>4</v>
      </c>
      <c r="G711" s="107"/>
      <c r="H711" s="105" t="s">
        <v>695</v>
      </c>
      <c r="I711" s="105" t="str">
        <f>IFERROR(__xludf.DUMMYFUNCTION("GOOGLETRANSLATE(H711,""he"",""en"")"),"Yotvata")</f>
        <v>Yotvata</v>
      </c>
      <c r="J711" s="105" t="s">
        <v>1899</v>
      </c>
      <c r="K711" s="105" t="str">
        <f>IFERROR(__xludf.DUMMYFUNCTION("GOOGLETRANSLATE(J711,""he"",""en"")"),"Cold coffee drink strong coffee ice Yotvata")</f>
        <v>Cold coffee drink strong coffee ice Yotvata</v>
      </c>
      <c r="L711" s="104" t="s">
        <v>1903</v>
      </c>
      <c r="M711" s="105" t="s">
        <v>6378</v>
      </c>
      <c r="N711" s="108" t="s">
        <v>6379</v>
      </c>
      <c r="O711" s="109"/>
      <c r="P711" s="109"/>
      <c r="Q711" s="111" t="s">
        <v>1902</v>
      </c>
      <c r="R711" s="111"/>
      <c r="S711" s="112"/>
      <c r="T711" s="102"/>
      <c r="U711" s="102"/>
      <c r="V711" s="102"/>
      <c r="W711" s="102"/>
      <c r="X711" s="102"/>
      <c r="Y711" s="102"/>
      <c r="Z711" s="102"/>
      <c r="AA711" s="102"/>
      <c r="AB711" s="102"/>
      <c r="AC711" s="113"/>
      <c r="AD711" s="113"/>
      <c r="AE711" s="113"/>
    </row>
    <row r="712">
      <c r="A712" s="114">
        <v>7.290105368959E12</v>
      </c>
      <c r="B712" s="104" t="str">
        <f t="shared" si="1"/>
        <v>Yotvata_250 ml Banana Punch</v>
      </c>
      <c r="C712" s="105">
        <v>0.06</v>
      </c>
      <c r="D712" s="105">
        <v>0.17</v>
      </c>
      <c r="E712" s="105">
        <v>0.075</v>
      </c>
      <c r="F712" s="106">
        <f>ROUND('Meta data'!$B$1/E712,0)</f>
        <v>4</v>
      </c>
      <c r="G712" s="107"/>
      <c r="H712" s="105" t="s">
        <v>695</v>
      </c>
      <c r="I712" s="105" t="str">
        <f>IFERROR(__xludf.DUMMYFUNCTION("GOOGLETRANSLATE(H712,""he"",""en"")"),"Yotvata")</f>
        <v>Yotvata</v>
      </c>
      <c r="J712" s="105" t="s">
        <v>5063</v>
      </c>
      <c r="K712" s="105" t="str">
        <f>IFERROR(__xludf.DUMMYFUNCTION("GOOGLETRANSLATE(J712,""he"",""en"")"),"250 ml Banana Punch")</f>
        <v>250 ml Banana Punch</v>
      </c>
      <c r="L712" s="104" t="s">
        <v>5067</v>
      </c>
      <c r="M712" s="105" t="s">
        <v>6378</v>
      </c>
      <c r="N712" s="108" t="s">
        <v>6379</v>
      </c>
      <c r="O712" s="109"/>
      <c r="P712" s="109"/>
      <c r="Q712" s="115" t="s">
        <v>5066</v>
      </c>
      <c r="R712" s="116"/>
      <c r="S712" s="118"/>
      <c r="T712" s="117"/>
      <c r="U712" s="102"/>
      <c r="V712" s="102"/>
      <c r="W712" s="102"/>
      <c r="X712" s="102"/>
      <c r="Y712" s="102"/>
      <c r="Z712" s="102"/>
      <c r="AA712" s="102"/>
      <c r="AB712" s="102"/>
      <c r="AC712" s="113"/>
      <c r="AD712" s="113"/>
      <c r="AE712" s="113"/>
    </row>
    <row r="713">
      <c r="A713" s="114">
        <v>3029433.0</v>
      </c>
      <c r="B713" s="104" t="str">
        <f t="shared" si="1"/>
        <v>Yotvata_Personal chocolate jam 250 ml</v>
      </c>
      <c r="C713" s="105">
        <v>0.06</v>
      </c>
      <c r="D713" s="105">
        <v>0.17</v>
      </c>
      <c r="E713" s="105">
        <v>0.056</v>
      </c>
      <c r="F713" s="106">
        <f>ROUND('Meta data'!$B$1/E713,0)</f>
        <v>5</v>
      </c>
      <c r="G713" s="107"/>
      <c r="H713" s="105" t="s">
        <v>695</v>
      </c>
      <c r="I713" s="105" t="str">
        <f>IFERROR(__xludf.DUMMYFUNCTION("GOOGLETRANSLATE(H713,""he"",""en"")"),"Yotvata")</f>
        <v>Yotvata</v>
      </c>
      <c r="J713" s="105" t="s">
        <v>5081</v>
      </c>
      <c r="K713" s="105" t="str">
        <f>IFERROR(__xludf.DUMMYFUNCTION("GOOGLETRANSLATE(J713,""he"",""en"")"),"Personal chocolate jam 250 ml")</f>
        <v>Personal chocolate jam 250 ml</v>
      </c>
      <c r="L713" s="104" t="s">
        <v>5085</v>
      </c>
      <c r="M713" s="105" t="s">
        <v>6378</v>
      </c>
      <c r="N713" s="108" t="s">
        <v>6379</v>
      </c>
      <c r="O713" s="109"/>
      <c r="P713" s="109"/>
      <c r="Q713" s="115" t="s">
        <v>5084</v>
      </c>
      <c r="R713" s="116"/>
      <c r="S713" s="117"/>
      <c r="T713" s="117"/>
      <c r="U713" s="118"/>
      <c r="V713" s="102"/>
      <c r="W713" s="102"/>
      <c r="X713" s="102"/>
      <c r="Y713" s="102"/>
      <c r="Z713" s="102"/>
      <c r="AA713" s="102"/>
      <c r="AB713" s="102"/>
      <c r="AC713" s="113"/>
      <c r="AD713" s="113"/>
      <c r="AE713" s="113"/>
    </row>
    <row r="714">
      <c r="A714" s="114">
        <v>7.290112342621E12</v>
      </c>
      <c r="B714" s="104" t="str">
        <f t="shared" si="1"/>
        <v>Yotvata_Yotvata chocolate 350 ml bottle</v>
      </c>
      <c r="C714" s="105">
        <v>0.06</v>
      </c>
      <c r="D714" s="105">
        <v>0.17</v>
      </c>
      <c r="E714" s="105">
        <v>0.06</v>
      </c>
      <c r="F714" s="106">
        <f>ROUND('Meta data'!$B$1/E714,0)</f>
        <v>5</v>
      </c>
      <c r="G714" s="107"/>
      <c r="H714" s="105" t="s">
        <v>695</v>
      </c>
      <c r="I714" s="105" t="str">
        <f>IFERROR(__xludf.DUMMYFUNCTION("GOOGLETRANSLATE(H714,""he"",""en"")"),"Yotvata")</f>
        <v>Yotvata</v>
      </c>
      <c r="J714" s="105" t="s">
        <v>5087</v>
      </c>
      <c r="K714" s="105" t="str">
        <f>IFERROR(__xludf.DUMMYFUNCTION("GOOGLETRANSLATE(J714,""he"",""en"")"),"Yotvata chocolate 350 ml bottle")</f>
        <v>Yotvata chocolate 350 ml bottle</v>
      </c>
      <c r="L714" s="104" t="s">
        <v>5091</v>
      </c>
      <c r="M714" s="105" t="s">
        <v>6378</v>
      </c>
      <c r="N714" s="108" t="s">
        <v>6379</v>
      </c>
      <c r="O714" s="109"/>
      <c r="P714" s="109"/>
      <c r="Q714" s="115" t="s">
        <v>5090</v>
      </c>
      <c r="R714" s="116"/>
      <c r="S714" s="117"/>
      <c r="T714" s="118"/>
      <c r="U714" s="117"/>
      <c r="V714" s="102"/>
      <c r="W714" s="102"/>
      <c r="X714" s="102"/>
      <c r="Y714" s="102"/>
      <c r="Z714" s="102"/>
      <c r="AA714" s="102"/>
      <c r="AB714" s="102"/>
      <c r="AC714" s="113"/>
      <c r="AD714" s="113"/>
      <c r="AE714" s="113"/>
    </row>
    <row r="715">
      <c r="A715" s="114">
        <v>7.290112330987E12</v>
      </c>
      <c r="B715" s="104" t="str">
        <f t="shared" si="1"/>
        <v>Yotvata_Whey protein smoothie Peach Mango 350 ml</v>
      </c>
      <c r="C715" s="105">
        <v>0.062</v>
      </c>
      <c r="D715" s="105">
        <v>0.173</v>
      </c>
      <c r="E715" s="105">
        <v>0.075</v>
      </c>
      <c r="F715" s="106">
        <f>ROUND('Meta data'!$B$1/E715,0)</f>
        <v>4</v>
      </c>
      <c r="G715" s="107"/>
      <c r="H715" s="105" t="s">
        <v>695</v>
      </c>
      <c r="I715" s="105" t="str">
        <f>IFERROR(__xludf.DUMMYFUNCTION("GOOGLETRANSLATE(H715,""he"",""en"")"),"Yotvata")</f>
        <v>Yotvata</v>
      </c>
      <c r="J715" s="105" t="s">
        <v>3932</v>
      </c>
      <c r="K715" s="105" t="str">
        <f>IFERROR(__xludf.DUMMYFUNCTION("GOOGLETRANSLATE(J715,""he"",""en"")"),"Whey protein smoothie Peach Mango 350 ml")</f>
        <v>Whey protein smoothie Peach Mango 350 ml</v>
      </c>
      <c r="L715" s="104" t="s">
        <v>3936</v>
      </c>
      <c r="M715" s="105" t="s">
        <v>6378</v>
      </c>
      <c r="N715" s="108" t="s">
        <v>6379</v>
      </c>
      <c r="O715" s="109"/>
      <c r="P715" s="109"/>
      <c r="Q715" s="115" t="s">
        <v>3935</v>
      </c>
      <c r="R715" s="116"/>
      <c r="S715" s="117"/>
      <c r="T715" s="117"/>
      <c r="U715" s="117"/>
      <c r="V715" s="117"/>
      <c r="W715" s="102"/>
      <c r="X715" s="102"/>
      <c r="Y715" s="102"/>
      <c r="Z715" s="102"/>
      <c r="AA715" s="102"/>
      <c r="AB715" s="102"/>
      <c r="AC715" s="113"/>
      <c r="AD715" s="113"/>
      <c r="AE715" s="113"/>
    </row>
    <row r="716">
      <c r="A716" s="114">
        <v>7.29011233097E12</v>
      </c>
      <c r="B716" s="104" t="str">
        <f t="shared" si="1"/>
        <v>Yotvata_Whey protein shake Berries 350 ml</v>
      </c>
      <c r="C716" s="105">
        <v>0.062</v>
      </c>
      <c r="D716" s="105">
        <v>0.173</v>
      </c>
      <c r="E716" s="105">
        <v>0.062</v>
      </c>
      <c r="F716" s="106">
        <f>ROUND('Meta data'!$B$1/E716,0)</f>
        <v>5</v>
      </c>
      <c r="G716" s="107"/>
      <c r="H716" s="105" t="s">
        <v>695</v>
      </c>
      <c r="I716" s="105" t="str">
        <f>IFERROR(__xludf.DUMMYFUNCTION("GOOGLETRANSLATE(H716,""he"",""en"")"),"Yotvata")</f>
        <v>Yotvata</v>
      </c>
      <c r="J716" s="105" t="s">
        <v>3926</v>
      </c>
      <c r="K716" s="105" t="str">
        <f>IFERROR(__xludf.DUMMYFUNCTION("GOOGLETRANSLATE(J716,""he"",""en"")"),"Whey protein shake Berries 350 ml")</f>
        <v>Whey protein shake Berries 350 ml</v>
      </c>
      <c r="L716" s="104" t="s">
        <v>3930</v>
      </c>
      <c r="M716" s="105" t="s">
        <v>6378</v>
      </c>
      <c r="N716" s="108" t="s">
        <v>6379</v>
      </c>
      <c r="O716" s="109"/>
      <c r="P716" s="109"/>
      <c r="Q716" s="115" t="s">
        <v>3929</v>
      </c>
      <c r="R716" s="116"/>
      <c r="S716" s="117"/>
      <c r="T716" s="117"/>
      <c r="U716" s="117"/>
      <c r="V716" s="102"/>
      <c r="W716" s="102"/>
      <c r="X716" s="102"/>
      <c r="Y716" s="102"/>
      <c r="Z716" s="102"/>
      <c r="AA716" s="102"/>
      <c r="AB716" s="102"/>
      <c r="AC716" s="113"/>
      <c r="AD716" s="113"/>
      <c r="AE716" s="113"/>
    </row>
    <row r="717">
      <c r="A717" s="114">
        <v>42855.0</v>
      </c>
      <c r="B717" s="104" t="str">
        <f t="shared" si="1"/>
        <v>Yotvata_Yotvata chocolate bag 225 ml</v>
      </c>
      <c r="C717" s="105">
        <v>0.09</v>
      </c>
      <c r="D717" s="105">
        <v>0.145</v>
      </c>
      <c r="E717" s="105">
        <v>0.09</v>
      </c>
      <c r="F717" s="106">
        <f>ROUND('Meta data'!$B$1/E717,0)</f>
        <v>3</v>
      </c>
      <c r="G717" s="107"/>
      <c r="H717" s="105" t="s">
        <v>695</v>
      </c>
      <c r="I717" s="105" t="str">
        <f>IFERROR(__xludf.DUMMYFUNCTION("GOOGLETRANSLATE(H717,""he"",""en"")"),"Yotvata")</f>
        <v>Yotvata</v>
      </c>
      <c r="J717" s="105" t="s">
        <v>697</v>
      </c>
      <c r="K717" s="105" t="str">
        <f>IFERROR(__xludf.DUMMYFUNCTION("GOOGLETRANSLATE(J717,""he"",""en"")"),"Yotvata chocolate bag 225 ml")</f>
        <v>Yotvata chocolate bag 225 ml</v>
      </c>
      <c r="L717" s="104" t="s">
        <v>703</v>
      </c>
      <c r="M717" s="105" t="s">
        <v>6378</v>
      </c>
      <c r="N717" s="108" t="s">
        <v>6655</v>
      </c>
      <c r="O717" s="109"/>
      <c r="P717" s="109"/>
      <c r="Q717" s="115" t="s">
        <v>702</v>
      </c>
      <c r="R717" s="116"/>
      <c r="S717" s="117"/>
      <c r="T717" s="117"/>
      <c r="U717" s="117"/>
      <c r="V717" s="102"/>
      <c r="W717" s="102"/>
      <c r="X717" s="102"/>
      <c r="Y717" s="102"/>
      <c r="Z717" s="102"/>
      <c r="AA717" s="102"/>
      <c r="AB717" s="102"/>
      <c r="AC717" s="113"/>
      <c r="AD717" s="113"/>
      <c r="AE717" s="113"/>
    </row>
    <row r="718">
      <c r="A718" s="114">
        <v>41858.0</v>
      </c>
      <c r="B718" s="104" t="str">
        <f t="shared" si="1"/>
        <v>Yotvata_Yotvata enriched with sour cream 200 ml 15%</v>
      </c>
      <c r="C718" s="105">
        <v>0.07</v>
      </c>
      <c r="D718" s="105">
        <v>0.075</v>
      </c>
      <c r="E718" s="105">
        <v>0.075</v>
      </c>
      <c r="F718" s="106">
        <f>ROUND('Meta data'!$B$1/E718,0)</f>
        <v>4</v>
      </c>
      <c r="G718" s="107"/>
      <c r="H718" s="105" t="s">
        <v>695</v>
      </c>
      <c r="I718" s="105" t="str">
        <f>IFERROR(__xludf.DUMMYFUNCTION("GOOGLETRANSLATE(H718,""he"",""en"")"),"Yotvata")</f>
        <v>Yotvata</v>
      </c>
      <c r="J718" s="105" t="s">
        <v>1330</v>
      </c>
      <c r="K718" s="105" t="str">
        <f>IFERROR(__xludf.DUMMYFUNCTION("GOOGLETRANSLATE(J718,""he"",""en"")"),"Yotvata enriched with sour cream 200 ml 15%")</f>
        <v>Yotvata enriched with sour cream 200 ml 15%</v>
      </c>
      <c r="L718" s="104" t="s">
        <v>1334</v>
      </c>
      <c r="M718" s="105" t="s">
        <v>6437</v>
      </c>
      <c r="N718" s="108" t="s">
        <v>6645</v>
      </c>
      <c r="O718" s="109"/>
      <c r="P718" s="109"/>
      <c r="Q718" s="115" t="s">
        <v>1333</v>
      </c>
      <c r="R718" s="116"/>
      <c r="S718" s="118"/>
      <c r="T718" s="117"/>
      <c r="U718" s="102"/>
      <c r="V718" s="102"/>
      <c r="W718" s="102"/>
      <c r="X718" s="102"/>
      <c r="Y718" s="102"/>
      <c r="Z718" s="102"/>
      <c r="AA718" s="102"/>
      <c r="AB718" s="102"/>
      <c r="AC718" s="113"/>
      <c r="AD718" s="113"/>
      <c r="AE718" s="113"/>
    </row>
    <row r="719">
      <c r="A719" s="139"/>
      <c r="B719" s="140"/>
      <c r="C719" s="102"/>
      <c r="D719" s="102"/>
      <c r="E719" s="102"/>
      <c r="F719" s="141"/>
      <c r="G719" s="102"/>
      <c r="H719" s="102"/>
      <c r="I719" s="142"/>
      <c r="J719" s="102"/>
      <c r="K719" s="102"/>
      <c r="L719" s="140"/>
      <c r="M719" s="102"/>
      <c r="N719" s="102"/>
      <c r="O719" s="102"/>
      <c r="P719" s="101"/>
      <c r="Q719" s="101"/>
      <c r="R719" s="101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13"/>
      <c r="AD719" s="113"/>
      <c r="AE719" s="113"/>
    </row>
    <row r="720">
      <c r="A720" s="102"/>
      <c r="B720" s="140"/>
      <c r="C720" s="102"/>
      <c r="D720" s="102"/>
      <c r="E720" s="102"/>
      <c r="F720" s="141"/>
      <c r="G720" s="102"/>
      <c r="H720" s="102"/>
      <c r="I720" s="142"/>
      <c r="J720" s="102"/>
      <c r="K720" s="102"/>
      <c r="L720" s="140"/>
      <c r="M720" s="102"/>
      <c r="N720" s="102"/>
      <c r="O720" s="102"/>
      <c r="P720" s="101"/>
      <c r="Q720" s="101"/>
      <c r="R720" s="101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2"/>
      <c r="AC720" s="113"/>
      <c r="AD720" s="113"/>
      <c r="AE720" s="113"/>
    </row>
    <row r="721">
      <c r="A721" s="102"/>
      <c r="B721" s="140"/>
      <c r="C721" s="102"/>
      <c r="D721" s="102"/>
      <c r="E721" s="102"/>
      <c r="F721" s="141"/>
      <c r="G721" s="102"/>
      <c r="H721" s="102"/>
      <c r="I721" s="142"/>
      <c r="J721" s="102"/>
      <c r="K721" s="102"/>
      <c r="L721" s="140"/>
      <c r="M721" s="102"/>
      <c r="N721" s="102"/>
      <c r="O721" s="102"/>
      <c r="P721" s="101"/>
      <c r="Q721" s="101"/>
      <c r="R721" s="101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2"/>
      <c r="AC721" s="113"/>
      <c r="AD721" s="113"/>
      <c r="AE721" s="113"/>
    </row>
    <row r="722">
      <c r="A722" s="102"/>
      <c r="B722" s="140"/>
      <c r="C722" s="102"/>
      <c r="D722" s="102"/>
      <c r="E722" s="102"/>
      <c r="F722" s="141"/>
      <c r="G722" s="102"/>
      <c r="H722" s="102"/>
      <c r="I722" s="142"/>
      <c r="J722" s="102"/>
      <c r="K722" s="102"/>
      <c r="L722" s="140"/>
      <c r="M722" s="102"/>
      <c r="N722" s="102"/>
      <c r="O722" s="102"/>
      <c r="P722" s="101"/>
      <c r="Q722" s="101"/>
      <c r="R722" s="101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2"/>
      <c r="AC722" s="113"/>
      <c r="AD722" s="113"/>
      <c r="AE722" s="113"/>
    </row>
    <row r="723">
      <c r="A723" s="102"/>
      <c r="B723" s="140"/>
      <c r="C723" s="102"/>
      <c r="D723" s="102"/>
      <c r="E723" s="102"/>
      <c r="F723" s="141"/>
      <c r="G723" s="102"/>
      <c r="H723" s="102"/>
      <c r="I723" s="142"/>
      <c r="J723" s="102"/>
      <c r="K723" s="102"/>
      <c r="L723" s="140"/>
      <c r="M723" s="102"/>
      <c r="N723" s="102"/>
      <c r="O723" s="102"/>
      <c r="P723" s="101"/>
      <c r="Q723" s="101"/>
      <c r="R723" s="101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2"/>
      <c r="AC723" s="113"/>
      <c r="AD723" s="113"/>
      <c r="AE723" s="113"/>
    </row>
    <row r="724">
      <c r="A724" s="102"/>
      <c r="B724" s="140"/>
      <c r="C724" s="102"/>
      <c r="D724" s="102"/>
      <c r="E724" s="102"/>
      <c r="F724" s="141"/>
      <c r="G724" s="102"/>
      <c r="H724" s="102"/>
      <c r="I724" s="142"/>
      <c r="J724" s="102"/>
      <c r="K724" s="102"/>
      <c r="L724" s="140"/>
      <c r="M724" s="102"/>
      <c r="N724" s="102"/>
      <c r="O724" s="102"/>
      <c r="P724" s="101"/>
      <c r="Q724" s="101"/>
      <c r="R724" s="101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2"/>
      <c r="AC724" s="113"/>
      <c r="AD724" s="113"/>
      <c r="AE724" s="113"/>
    </row>
    <row r="725">
      <c r="A725" s="102"/>
      <c r="B725" s="140"/>
      <c r="C725" s="102"/>
      <c r="D725" s="102"/>
      <c r="E725" s="102"/>
      <c r="F725" s="141"/>
      <c r="G725" s="102"/>
      <c r="H725" s="102"/>
      <c r="I725" s="142"/>
      <c r="J725" s="102"/>
      <c r="K725" s="102"/>
      <c r="L725" s="140"/>
      <c r="M725" s="102"/>
      <c r="N725" s="102"/>
      <c r="O725" s="102"/>
      <c r="P725" s="101"/>
      <c r="Q725" s="101"/>
      <c r="R725" s="101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2"/>
      <c r="AC725" s="113"/>
      <c r="AD725" s="113"/>
      <c r="AE725" s="113"/>
    </row>
    <row r="726">
      <c r="A726" s="102"/>
      <c r="B726" s="140"/>
      <c r="C726" s="102"/>
      <c r="D726" s="102"/>
      <c r="E726" s="102"/>
      <c r="F726" s="141"/>
      <c r="G726" s="102"/>
      <c r="H726" s="102"/>
      <c r="I726" s="142"/>
      <c r="J726" s="102"/>
      <c r="K726" s="102"/>
      <c r="L726" s="140"/>
      <c r="M726" s="102"/>
      <c r="N726" s="102"/>
      <c r="O726" s="102"/>
      <c r="P726" s="101"/>
      <c r="Q726" s="101"/>
      <c r="R726" s="101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2"/>
      <c r="AC726" s="113"/>
      <c r="AD726" s="113"/>
      <c r="AE726" s="113"/>
    </row>
    <row r="727">
      <c r="A727" s="102"/>
      <c r="B727" s="140"/>
      <c r="C727" s="102"/>
      <c r="D727" s="102"/>
      <c r="E727" s="102"/>
      <c r="F727" s="141"/>
      <c r="G727" s="102"/>
      <c r="H727" s="102"/>
      <c r="I727" s="102"/>
      <c r="J727" s="102"/>
      <c r="K727" s="102"/>
      <c r="L727" s="140"/>
      <c r="M727" s="102"/>
      <c r="N727" s="102"/>
      <c r="O727" s="102"/>
      <c r="P727" s="101"/>
      <c r="Q727" s="101"/>
      <c r="R727" s="101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2"/>
      <c r="AC727" s="113"/>
      <c r="AD727" s="113"/>
      <c r="AE727" s="113"/>
    </row>
    <row r="728">
      <c r="A728" s="102"/>
      <c r="B728" s="140"/>
      <c r="C728" s="102"/>
      <c r="D728" s="102"/>
      <c r="E728" s="102"/>
      <c r="F728" s="141"/>
      <c r="G728" s="102"/>
      <c r="H728" s="102"/>
      <c r="I728" s="102"/>
      <c r="J728" s="102"/>
      <c r="K728" s="102"/>
      <c r="L728" s="140"/>
      <c r="M728" s="102"/>
      <c r="N728" s="102"/>
      <c r="O728" s="102"/>
      <c r="P728" s="101"/>
      <c r="Q728" s="101"/>
      <c r="R728" s="101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13"/>
      <c r="AD728" s="113"/>
      <c r="AE728" s="113"/>
    </row>
    <row r="729">
      <c r="A729" s="102"/>
      <c r="B729" s="140"/>
      <c r="C729" s="102"/>
      <c r="D729" s="102"/>
      <c r="E729" s="102"/>
      <c r="F729" s="141"/>
      <c r="G729" s="102"/>
      <c r="H729" s="102"/>
      <c r="I729" s="102"/>
      <c r="J729" s="102"/>
      <c r="K729" s="102"/>
      <c r="L729" s="140"/>
      <c r="M729" s="102"/>
      <c r="N729" s="102"/>
      <c r="O729" s="102"/>
      <c r="P729" s="101"/>
      <c r="Q729" s="101"/>
      <c r="R729" s="101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2"/>
      <c r="AC729" s="113"/>
      <c r="AD729" s="113"/>
      <c r="AE729" s="113"/>
    </row>
    <row r="730">
      <c r="A730" s="102"/>
      <c r="B730" s="140"/>
      <c r="C730" s="102"/>
      <c r="D730" s="102"/>
      <c r="E730" s="102"/>
      <c r="F730" s="141"/>
      <c r="G730" s="102"/>
      <c r="H730" s="102"/>
      <c r="I730" s="102"/>
      <c r="J730" s="102"/>
      <c r="K730" s="102"/>
      <c r="L730" s="140"/>
      <c r="M730" s="102"/>
      <c r="N730" s="102"/>
      <c r="O730" s="102"/>
      <c r="P730" s="101"/>
      <c r="Q730" s="101"/>
      <c r="R730" s="101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2"/>
      <c r="AC730" s="113"/>
      <c r="AD730" s="113"/>
      <c r="AE730" s="113"/>
    </row>
    <row r="731">
      <c r="A731" s="102"/>
      <c r="B731" s="140"/>
      <c r="C731" s="102"/>
      <c r="D731" s="102"/>
      <c r="E731" s="102"/>
      <c r="F731" s="141"/>
      <c r="G731" s="102"/>
      <c r="H731" s="102"/>
      <c r="I731" s="102"/>
      <c r="J731" s="102"/>
      <c r="K731" s="102"/>
      <c r="L731" s="140"/>
      <c r="M731" s="102"/>
      <c r="N731" s="102"/>
      <c r="O731" s="102"/>
      <c r="P731" s="101"/>
      <c r="Q731" s="101"/>
      <c r="R731" s="101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2"/>
      <c r="AC731" s="113"/>
      <c r="AD731" s="113"/>
      <c r="AE731" s="113"/>
    </row>
    <row r="732">
      <c r="A732" s="102"/>
      <c r="B732" s="140"/>
      <c r="C732" s="102"/>
      <c r="D732" s="102"/>
      <c r="E732" s="102"/>
      <c r="F732" s="141"/>
      <c r="G732" s="102"/>
      <c r="H732" s="102"/>
      <c r="I732" s="102"/>
      <c r="J732" s="102"/>
      <c r="K732" s="102"/>
      <c r="L732" s="140"/>
      <c r="M732" s="102"/>
      <c r="N732" s="102"/>
      <c r="O732" s="102"/>
      <c r="P732" s="101"/>
      <c r="Q732" s="101"/>
      <c r="R732" s="101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2"/>
      <c r="AC732" s="113"/>
      <c r="AD732" s="113"/>
      <c r="AE732" s="113"/>
    </row>
    <row r="733">
      <c r="A733" s="102"/>
      <c r="B733" s="140"/>
      <c r="C733" s="102"/>
      <c r="D733" s="102"/>
      <c r="E733" s="102"/>
      <c r="F733" s="141"/>
      <c r="G733" s="102"/>
      <c r="H733" s="102"/>
      <c r="I733" s="102"/>
      <c r="J733" s="102"/>
      <c r="K733" s="102"/>
      <c r="L733" s="140"/>
      <c r="M733" s="102"/>
      <c r="N733" s="102"/>
      <c r="O733" s="102"/>
      <c r="P733" s="101"/>
      <c r="Q733" s="101"/>
      <c r="R733" s="101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2"/>
      <c r="AC733" s="113"/>
      <c r="AD733" s="113"/>
      <c r="AE733" s="113"/>
    </row>
    <row r="734">
      <c r="A734" s="102"/>
      <c r="B734" s="140"/>
      <c r="C734" s="102"/>
      <c r="D734" s="102"/>
      <c r="E734" s="102"/>
      <c r="F734" s="141"/>
      <c r="G734" s="102"/>
      <c r="H734" s="102"/>
      <c r="I734" s="102"/>
      <c r="J734" s="102"/>
      <c r="K734" s="102"/>
      <c r="L734" s="140"/>
      <c r="M734" s="102"/>
      <c r="N734" s="102"/>
      <c r="O734" s="102"/>
      <c r="P734" s="101"/>
      <c r="Q734" s="101"/>
      <c r="R734" s="101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  <c r="AC734" s="113"/>
      <c r="AD734" s="113"/>
      <c r="AE734" s="113"/>
    </row>
    <row r="735">
      <c r="A735" s="102"/>
      <c r="B735" s="140"/>
      <c r="C735" s="102"/>
      <c r="D735" s="102"/>
      <c r="E735" s="102"/>
      <c r="F735" s="141"/>
      <c r="G735" s="102"/>
      <c r="H735" s="102"/>
      <c r="I735" s="102"/>
      <c r="J735" s="102"/>
      <c r="K735" s="102"/>
      <c r="L735" s="140"/>
      <c r="M735" s="102"/>
      <c r="N735" s="102"/>
      <c r="O735" s="102"/>
      <c r="P735" s="101"/>
      <c r="Q735" s="101"/>
      <c r="R735" s="101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  <c r="AC735" s="113"/>
      <c r="AD735" s="113"/>
      <c r="AE735" s="113"/>
    </row>
    <row r="736">
      <c r="A736" s="102"/>
      <c r="B736" s="140"/>
      <c r="C736" s="102"/>
      <c r="D736" s="102"/>
      <c r="E736" s="102"/>
      <c r="F736" s="141"/>
      <c r="G736" s="102"/>
      <c r="H736" s="102"/>
      <c r="I736" s="102"/>
      <c r="J736" s="102"/>
      <c r="K736" s="102"/>
      <c r="L736" s="140"/>
      <c r="M736" s="102"/>
      <c r="N736" s="102"/>
      <c r="O736" s="102"/>
      <c r="P736" s="101"/>
      <c r="Q736" s="101"/>
      <c r="R736" s="101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2"/>
      <c r="AC736" s="113"/>
      <c r="AD736" s="113"/>
      <c r="AE736" s="113"/>
    </row>
    <row r="737">
      <c r="A737" s="102"/>
      <c r="B737" s="140"/>
      <c r="C737" s="102"/>
      <c r="D737" s="102"/>
      <c r="E737" s="102"/>
      <c r="F737" s="141"/>
      <c r="G737" s="102"/>
      <c r="H737" s="102"/>
      <c r="I737" s="102"/>
      <c r="J737" s="102"/>
      <c r="K737" s="102"/>
      <c r="L737" s="140"/>
      <c r="M737" s="102"/>
      <c r="N737" s="102"/>
      <c r="O737" s="102"/>
      <c r="P737" s="101"/>
      <c r="Q737" s="101"/>
      <c r="R737" s="101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2"/>
      <c r="AC737" s="113"/>
      <c r="AD737" s="113"/>
      <c r="AE737" s="113"/>
    </row>
    <row r="738">
      <c r="A738" s="102"/>
      <c r="B738" s="140"/>
      <c r="C738" s="102"/>
      <c r="D738" s="102"/>
      <c r="E738" s="102"/>
      <c r="F738" s="141"/>
      <c r="G738" s="102"/>
      <c r="H738" s="102"/>
      <c r="I738" s="102"/>
      <c r="J738" s="102"/>
      <c r="K738" s="102"/>
      <c r="L738" s="140"/>
      <c r="M738" s="102"/>
      <c r="N738" s="102"/>
      <c r="O738" s="102"/>
      <c r="P738" s="101"/>
      <c r="Q738" s="101"/>
      <c r="R738" s="101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2"/>
      <c r="AC738" s="113"/>
      <c r="AD738" s="113"/>
      <c r="AE738" s="113"/>
    </row>
    <row r="739">
      <c r="A739" s="102"/>
      <c r="B739" s="140"/>
      <c r="C739" s="102"/>
      <c r="D739" s="102"/>
      <c r="E739" s="102"/>
      <c r="F739" s="141"/>
      <c r="G739" s="102"/>
      <c r="H739" s="102"/>
      <c r="I739" s="102"/>
      <c r="J739" s="102"/>
      <c r="K739" s="102"/>
      <c r="L739" s="140"/>
      <c r="M739" s="102"/>
      <c r="N739" s="102"/>
      <c r="O739" s="102"/>
      <c r="P739" s="101"/>
      <c r="Q739" s="101"/>
      <c r="R739" s="101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2"/>
      <c r="AC739" s="113"/>
      <c r="AD739" s="113"/>
      <c r="AE739" s="113"/>
    </row>
    <row r="740">
      <c r="A740" s="102"/>
      <c r="B740" s="140"/>
      <c r="C740" s="102"/>
      <c r="D740" s="102"/>
      <c r="E740" s="102"/>
      <c r="F740" s="141"/>
      <c r="G740" s="102"/>
      <c r="H740" s="102"/>
      <c r="I740" s="102"/>
      <c r="J740" s="102"/>
      <c r="K740" s="102"/>
      <c r="L740" s="140"/>
      <c r="M740" s="102"/>
      <c r="N740" s="102"/>
      <c r="O740" s="102"/>
      <c r="P740" s="101"/>
      <c r="Q740" s="101"/>
      <c r="R740" s="101"/>
      <c r="S740" s="102"/>
      <c r="T740" s="102"/>
      <c r="U740" s="102"/>
      <c r="V740" s="102"/>
      <c r="W740" s="102"/>
      <c r="X740" s="102"/>
      <c r="Y740" s="102"/>
      <c r="Z740" s="102"/>
      <c r="AA740" s="102"/>
      <c r="AB740" s="102"/>
      <c r="AC740" s="113"/>
      <c r="AD740" s="113"/>
      <c r="AE740" s="113"/>
    </row>
    <row r="741">
      <c r="A741" s="102"/>
      <c r="B741" s="140"/>
      <c r="C741" s="102"/>
      <c r="D741" s="102"/>
      <c r="E741" s="102"/>
      <c r="F741" s="141"/>
      <c r="G741" s="102"/>
      <c r="H741" s="102"/>
      <c r="I741" s="102"/>
      <c r="J741" s="102"/>
      <c r="K741" s="102"/>
      <c r="L741" s="140"/>
      <c r="M741" s="102"/>
      <c r="N741" s="102"/>
      <c r="O741" s="102"/>
      <c r="P741" s="101"/>
      <c r="Q741" s="101"/>
      <c r="R741" s="101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2"/>
      <c r="AC741" s="113"/>
      <c r="AD741" s="113"/>
      <c r="AE741" s="113"/>
    </row>
    <row r="742">
      <c r="A742" s="102"/>
      <c r="B742" s="140"/>
      <c r="C742" s="102"/>
      <c r="D742" s="102"/>
      <c r="E742" s="102"/>
      <c r="F742" s="141"/>
      <c r="G742" s="102"/>
      <c r="H742" s="102"/>
      <c r="I742" s="102"/>
      <c r="J742" s="102"/>
      <c r="K742" s="102"/>
      <c r="L742" s="140"/>
      <c r="M742" s="102"/>
      <c r="N742" s="102"/>
      <c r="O742" s="102"/>
      <c r="P742" s="101"/>
      <c r="Q742" s="101"/>
      <c r="R742" s="101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2"/>
      <c r="AC742" s="113"/>
      <c r="AD742" s="113"/>
      <c r="AE742" s="113"/>
    </row>
    <row r="743">
      <c r="A743" s="102"/>
      <c r="B743" s="140"/>
      <c r="C743" s="102"/>
      <c r="D743" s="102"/>
      <c r="E743" s="102"/>
      <c r="F743" s="141"/>
      <c r="G743" s="102"/>
      <c r="H743" s="102"/>
      <c r="I743" s="102"/>
      <c r="J743" s="102"/>
      <c r="K743" s="102"/>
      <c r="L743" s="140"/>
      <c r="M743" s="102"/>
      <c r="N743" s="102"/>
      <c r="O743" s="102"/>
      <c r="P743" s="101"/>
      <c r="Q743" s="101"/>
      <c r="R743" s="101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2"/>
      <c r="AC743" s="113"/>
      <c r="AD743" s="113"/>
      <c r="AE743" s="113"/>
    </row>
    <row r="744">
      <c r="A744" s="102"/>
      <c r="B744" s="140"/>
      <c r="C744" s="102"/>
      <c r="D744" s="102"/>
      <c r="E744" s="102"/>
      <c r="F744" s="141"/>
      <c r="G744" s="102"/>
      <c r="H744" s="102"/>
      <c r="I744" s="102"/>
      <c r="J744" s="102"/>
      <c r="K744" s="102"/>
      <c r="L744" s="140"/>
      <c r="M744" s="102"/>
      <c r="N744" s="102"/>
      <c r="O744" s="102"/>
      <c r="P744" s="101"/>
      <c r="Q744" s="101"/>
      <c r="R744" s="101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  <c r="AC744" s="113"/>
      <c r="AD744" s="113"/>
      <c r="AE744" s="113"/>
    </row>
    <row r="745">
      <c r="A745" s="102"/>
      <c r="B745" s="140"/>
      <c r="C745" s="102"/>
      <c r="D745" s="102"/>
      <c r="E745" s="102"/>
      <c r="F745" s="141"/>
      <c r="G745" s="102"/>
      <c r="H745" s="102"/>
      <c r="I745" s="102"/>
      <c r="J745" s="102"/>
      <c r="K745" s="102"/>
      <c r="L745" s="140"/>
      <c r="M745" s="102"/>
      <c r="N745" s="102"/>
      <c r="O745" s="102"/>
      <c r="P745" s="101"/>
      <c r="Q745" s="101"/>
      <c r="R745" s="101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2"/>
      <c r="AC745" s="113"/>
      <c r="AD745" s="113"/>
      <c r="AE745" s="113"/>
    </row>
    <row r="746">
      <c r="A746" s="102"/>
      <c r="B746" s="140"/>
      <c r="C746" s="102"/>
      <c r="D746" s="102"/>
      <c r="E746" s="102"/>
      <c r="F746" s="141"/>
      <c r="G746" s="102"/>
      <c r="H746" s="102"/>
      <c r="I746" s="102"/>
      <c r="J746" s="102"/>
      <c r="K746" s="102"/>
      <c r="L746" s="140"/>
      <c r="M746" s="102"/>
      <c r="N746" s="102"/>
      <c r="O746" s="102"/>
      <c r="P746" s="101"/>
      <c r="Q746" s="101"/>
      <c r="R746" s="101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  <c r="AC746" s="113"/>
      <c r="AD746" s="113"/>
      <c r="AE746" s="113"/>
    </row>
    <row r="747">
      <c r="A747" s="102"/>
      <c r="B747" s="140"/>
      <c r="C747" s="102"/>
      <c r="D747" s="102"/>
      <c r="E747" s="102"/>
      <c r="F747" s="141"/>
      <c r="G747" s="102"/>
      <c r="H747" s="102"/>
      <c r="I747" s="102"/>
      <c r="J747" s="102"/>
      <c r="K747" s="102"/>
      <c r="L747" s="140"/>
      <c r="M747" s="102"/>
      <c r="N747" s="102"/>
      <c r="O747" s="102"/>
      <c r="P747" s="101"/>
      <c r="Q747" s="101"/>
      <c r="R747" s="101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2"/>
      <c r="AC747" s="113"/>
      <c r="AD747" s="113"/>
      <c r="AE747" s="113"/>
    </row>
    <row r="748">
      <c r="A748" s="102"/>
      <c r="B748" s="140"/>
      <c r="C748" s="102"/>
      <c r="D748" s="102"/>
      <c r="E748" s="102"/>
      <c r="F748" s="141"/>
      <c r="G748" s="102"/>
      <c r="H748" s="102"/>
      <c r="I748" s="102"/>
      <c r="J748" s="102"/>
      <c r="K748" s="102"/>
      <c r="L748" s="140"/>
      <c r="M748" s="102"/>
      <c r="N748" s="102"/>
      <c r="O748" s="102"/>
      <c r="P748" s="101"/>
      <c r="Q748" s="101"/>
      <c r="R748" s="101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2"/>
      <c r="AC748" s="113"/>
      <c r="AD748" s="113"/>
      <c r="AE748" s="113"/>
    </row>
    <row r="749">
      <c r="A749" s="102"/>
      <c r="B749" s="140"/>
      <c r="C749" s="102"/>
      <c r="D749" s="102"/>
      <c r="E749" s="102"/>
      <c r="F749" s="141"/>
      <c r="G749" s="102"/>
      <c r="H749" s="102"/>
      <c r="I749" s="102"/>
      <c r="J749" s="102"/>
      <c r="K749" s="102"/>
      <c r="L749" s="140"/>
      <c r="M749" s="102"/>
      <c r="N749" s="102"/>
      <c r="O749" s="102"/>
      <c r="P749" s="101"/>
      <c r="Q749" s="101"/>
      <c r="R749" s="101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2"/>
      <c r="AC749" s="113"/>
      <c r="AD749" s="113"/>
      <c r="AE749" s="113"/>
    </row>
    <row r="750">
      <c r="A750" s="102"/>
      <c r="B750" s="140"/>
      <c r="C750" s="102"/>
      <c r="D750" s="102"/>
      <c r="E750" s="102"/>
      <c r="F750" s="141"/>
      <c r="G750" s="102"/>
      <c r="H750" s="102"/>
      <c r="I750" s="102"/>
      <c r="J750" s="102"/>
      <c r="K750" s="102"/>
      <c r="L750" s="140"/>
      <c r="M750" s="102"/>
      <c r="N750" s="102"/>
      <c r="O750" s="102"/>
      <c r="P750" s="101"/>
      <c r="Q750" s="101"/>
      <c r="R750" s="101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2"/>
      <c r="AC750" s="113"/>
      <c r="AD750" s="113"/>
      <c r="AE750" s="113"/>
    </row>
    <row r="751">
      <c r="A751" s="102"/>
      <c r="B751" s="140"/>
      <c r="C751" s="102"/>
      <c r="D751" s="102"/>
      <c r="E751" s="102"/>
      <c r="F751" s="141"/>
      <c r="G751" s="102"/>
      <c r="H751" s="102"/>
      <c r="I751" s="102"/>
      <c r="J751" s="102"/>
      <c r="K751" s="102"/>
      <c r="L751" s="140"/>
      <c r="M751" s="102"/>
      <c r="N751" s="102"/>
      <c r="O751" s="102"/>
      <c r="P751" s="101"/>
      <c r="Q751" s="101"/>
      <c r="R751" s="101"/>
      <c r="S751" s="102"/>
      <c r="T751" s="102"/>
      <c r="U751" s="102"/>
      <c r="V751" s="102"/>
      <c r="W751" s="102"/>
      <c r="X751" s="102"/>
      <c r="Y751" s="102"/>
      <c r="Z751" s="102"/>
      <c r="AA751" s="102"/>
      <c r="AB751" s="102"/>
      <c r="AC751" s="113"/>
      <c r="AD751" s="113"/>
      <c r="AE751" s="113"/>
    </row>
    <row r="752">
      <c r="A752" s="102"/>
      <c r="B752" s="140"/>
      <c r="C752" s="102"/>
      <c r="D752" s="102"/>
      <c r="E752" s="102"/>
      <c r="F752" s="141"/>
      <c r="G752" s="102"/>
      <c r="H752" s="102"/>
      <c r="I752" s="102"/>
      <c r="J752" s="102"/>
      <c r="K752" s="102"/>
      <c r="L752" s="140"/>
      <c r="M752" s="102"/>
      <c r="N752" s="102"/>
      <c r="O752" s="102"/>
      <c r="P752" s="101"/>
      <c r="Q752" s="101"/>
      <c r="R752" s="101"/>
      <c r="S752" s="102"/>
      <c r="T752" s="102"/>
      <c r="U752" s="102"/>
      <c r="V752" s="102"/>
      <c r="W752" s="102"/>
      <c r="X752" s="102"/>
      <c r="Y752" s="102"/>
      <c r="Z752" s="102"/>
      <c r="AA752" s="102"/>
      <c r="AB752" s="102"/>
      <c r="AC752" s="113"/>
      <c r="AD752" s="113"/>
      <c r="AE752" s="113"/>
    </row>
    <row r="753">
      <c r="A753" s="102"/>
      <c r="B753" s="140"/>
      <c r="C753" s="102"/>
      <c r="D753" s="102"/>
      <c r="E753" s="102"/>
      <c r="F753" s="141"/>
      <c r="G753" s="102"/>
      <c r="H753" s="102"/>
      <c r="I753" s="102"/>
      <c r="J753" s="102"/>
      <c r="K753" s="102"/>
      <c r="L753" s="140"/>
      <c r="M753" s="102"/>
      <c r="N753" s="102"/>
      <c r="O753" s="102"/>
      <c r="P753" s="101"/>
      <c r="Q753" s="101"/>
      <c r="R753" s="101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  <c r="AC753" s="113"/>
      <c r="AD753" s="113"/>
      <c r="AE753" s="113"/>
    </row>
    <row r="754">
      <c r="A754" s="102"/>
      <c r="B754" s="140"/>
      <c r="C754" s="102"/>
      <c r="D754" s="102"/>
      <c r="E754" s="102"/>
      <c r="F754" s="141"/>
      <c r="G754" s="102"/>
      <c r="H754" s="102"/>
      <c r="I754" s="102"/>
      <c r="J754" s="102"/>
      <c r="K754" s="102"/>
      <c r="L754" s="140"/>
      <c r="M754" s="102"/>
      <c r="N754" s="102"/>
      <c r="O754" s="102"/>
      <c r="P754" s="101"/>
      <c r="Q754" s="101"/>
      <c r="R754" s="101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2"/>
      <c r="AC754" s="113"/>
      <c r="AD754" s="113"/>
      <c r="AE754" s="113"/>
    </row>
    <row r="755">
      <c r="A755" s="102"/>
      <c r="B755" s="140"/>
      <c r="C755" s="102"/>
      <c r="D755" s="102"/>
      <c r="E755" s="102"/>
      <c r="F755" s="141"/>
      <c r="G755" s="102"/>
      <c r="H755" s="102"/>
      <c r="I755" s="102"/>
      <c r="J755" s="102"/>
      <c r="K755" s="102"/>
      <c r="L755" s="140"/>
      <c r="M755" s="102"/>
      <c r="N755" s="102"/>
      <c r="O755" s="102"/>
      <c r="P755" s="101"/>
      <c r="Q755" s="101"/>
      <c r="R755" s="101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2"/>
      <c r="AC755" s="113"/>
      <c r="AD755" s="113"/>
      <c r="AE755" s="113"/>
    </row>
    <row r="756">
      <c r="A756" s="102"/>
      <c r="B756" s="140"/>
      <c r="C756" s="102"/>
      <c r="D756" s="102"/>
      <c r="E756" s="102"/>
      <c r="F756" s="141"/>
      <c r="G756" s="102"/>
      <c r="H756" s="102"/>
      <c r="I756" s="102"/>
      <c r="J756" s="102"/>
      <c r="K756" s="102"/>
      <c r="L756" s="140"/>
      <c r="M756" s="102"/>
      <c r="N756" s="102"/>
      <c r="O756" s="102"/>
      <c r="P756" s="101"/>
      <c r="Q756" s="101"/>
      <c r="R756" s="101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2"/>
      <c r="AC756" s="113"/>
      <c r="AD756" s="113"/>
      <c r="AE756" s="113"/>
    </row>
    <row r="757">
      <c r="A757" s="102"/>
      <c r="B757" s="140"/>
      <c r="C757" s="102"/>
      <c r="D757" s="102"/>
      <c r="E757" s="102"/>
      <c r="F757" s="141"/>
      <c r="G757" s="102"/>
      <c r="H757" s="102"/>
      <c r="I757" s="102"/>
      <c r="J757" s="102"/>
      <c r="K757" s="102"/>
      <c r="L757" s="140"/>
      <c r="M757" s="102"/>
      <c r="N757" s="102"/>
      <c r="O757" s="102"/>
      <c r="P757" s="101"/>
      <c r="Q757" s="101"/>
      <c r="R757" s="101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2"/>
      <c r="AC757" s="113"/>
      <c r="AD757" s="113"/>
      <c r="AE757" s="113"/>
    </row>
    <row r="758">
      <c r="A758" s="102"/>
      <c r="B758" s="140"/>
      <c r="C758" s="102"/>
      <c r="D758" s="102"/>
      <c r="E758" s="102"/>
      <c r="F758" s="141"/>
      <c r="G758" s="102"/>
      <c r="H758" s="102"/>
      <c r="I758" s="102"/>
      <c r="J758" s="102"/>
      <c r="K758" s="102"/>
      <c r="L758" s="140"/>
      <c r="M758" s="102"/>
      <c r="N758" s="102"/>
      <c r="O758" s="102"/>
      <c r="P758" s="101"/>
      <c r="Q758" s="101"/>
      <c r="R758" s="101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2"/>
      <c r="AC758" s="113"/>
      <c r="AD758" s="113"/>
      <c r="AE758" s="113"/>
    </row>
    <row r="759">
      <c r="A759" s="102"/>
      <c r="B759" s="140"/>
      <c r="C759" s="102"/>
      <c r="D759" s="102"/>
      <c r="E759" s="102"/>
      <c r="F759" s="141"/>
      <c r="G759" s="102"/>
      <c r="H759" s="102"/>
      <c r="I759" s="102"/>
      <c r="J759" s="102"/>
      <c r="K759" s="102"/>
      <c r="L759" s="140"/>
      <c r="M759" s="102"/>
      <c r="N759" s="102"/>
      <c r="O759" s="102"/>
      <c r="P759" s="101"/>
      <c r="Q759" s="101"/>
      <c r="R759" s="101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  <c r="AC759" s="113"/>
      <c r="AD759" s="113"/>
      <c r="AE759" s="113"/>
    </row>
    <row r="760">
      <c r="A760" s="102"/>
      <c r="B760" s="140"/>
      <c r="C760" s="102"/>
      <c r="D760" s="102"/>
      <c r="E760" s="102"/>
      <c r="F760" s="141"/>
      <c r="G760" s="102"/>
      <c r="H760" s="102"/>
      <c r="I760" s="102"/>
      <c r="J760" s="102"/>
      <c r="K760" s="102"/>
      <c r="L760" s="140"/>
      <c r="M760" s="102"/>
      <c r="N760" s="102"/>
      <c r="O760" s="102"/>
      <c r="P760" s="101"/>
      <c r="Q760" s="101"/>
      <c r="R760" s="101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2"/>
      <c r="AC760" s="113"/>
      <c r="AD760" s="113"/>
      <c r="AE760" s="113"/>
    </row>
    <row r="761">
      <c r="A761" s="102"/>
      <c r="B761" s="140"/>
      <c r="C761" s="102"/>
      <c r="D761" s="102"/>
      <c r="E761" s="102"/>
      <c r="F761" s="141"/>
      <c r="G761" s="102"/>
      <c r="H761" s="102"/>
      <c r="I761" s="102"/>
      <c r="J761" s="102"/>
      <c r="K761" s="102"/>
      <c r="L761" s="140"/>
      <c r="M761" s="102"/>
      <c r="N761" s="102"/>
      <c r="O761" s="102"/>
      <c r="P761" s="101"/>
      <c r="Q761" s="101"/>
      <c r="R761" s="101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2"/>
      <c r="AC761" s="113"/>
      <c r="AD761" s="113"/>
      <c r="AE761" s="113"/>
    </row>
    <row r="762">
      <c r="A762" s="102"/>
      <c r="B762" s="140"/>
      <c r="C762" s="102"/>
      <c r="D762" s="102"/>
      <c r="E762" s="102"/>
      <c r="F762" s="141"/>
      <c r="G762" s="102"/>
      <c r="H762" s="102"/>
      <c r="I762" s="102"/>
      <c r="J762" s="102"/>
      <c r="K762" s="102"/>
      <c r="L762" s="140"/>
      <c r="M762" s="102"/>
      <c r="N762" s="102"/>
      <c r="O762" s="102"/>
      <c r="P762" s="101"/>
      <c r="Q762" s="101"/>
      <c r="R762" s="101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2"/>
      <c r="AC762" s="113"/>
      <c r="AD762" s="113"/>
      <c r="AE762" s="113"/>
    </row>
    <row r="763">
      <c r="A763" s="102"/>
      <c r="B763" s="140"/>
      <c r="C763" s="102"/>
      <c r="D763" s="102"/>
      <c r="E763" s="102"/>
      <c r="F763" s="141"/>
      <c r="G763" s="102"/>
      <c r="H763" s="102"/>
      <c r="I763" s="102"/>
      <c r="J763" s="102"/>
      <c r="K763" s="102"/>
      <c r="L763" s="140"/>
      <c r="M763" s="102"/>
      <c r="N763" s="102"/>
      <c r="O763" s="102"/>
      <c r="P763" s="101"/>
      <c r="Q763" s="101"/>
      <c r="R763" s="101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2"/>
      <c r="AC763" s="113"/>
      <c r="AD763" s="113"/>
      <c r="AE763" s="113"/>
    </row>
    <row r="764">
      <c r="A764" s="102"/>
      <c r="B764" s="140"/>
      <c r="C764" s="102"/>
      <c r="D764" s="102"/>
      <c r="E764" s="102"/>
      <c r="F764" s="141"/>
      <c r="G764" s="102"/>
      <c r="H764" s="102"/>
      <c r="I764" s="102"/>
      <c r="J764" s="102"/>
      <c r="K764" s="102"/>
      <c r="L764" s="140"/>
      <c r="M764" s="102"/>
      <c r="N764" s="102"/>
      <c r="O764" s="102"/>
      <c r="P764" s="101"/>
      <c r="Q764" s="101"/>
      <c r="R764" s="101"/>
      <c r="S764" s="102"/>
      <c r="T764" s="102"/>
      <c r="U764" s="102"/>
      <c r="V764" s="102"/>
      <c r="W764" s="102"/>
      <c r="X764" s="102"/>
      <c r="Y764" s="102"/>
      <c r="Z764" s="102"/>
      <c r="AA764" s="102"/>
      <c r="AB764" s="102"/>
      <c r="AC764" s="113"/>
      <c r="AD764" s="113"/>
      <c r="AE764" s="113"/>
    </row>
    <row r="765">
      <c r="A765" s="102"/>
      <c r="B765" s="140"/>
      <c r="C765" s="102"/>
      <c r="D765" s="102"/>
      <c r="E765" s="102"/>
      <c r="F765" s="141"/>
      <c r="G765" s="102"/>
      <c r="H765" s="102"/>
      <c r="I765" s="102"/>
      <c r="J765" s="102"/>
      <c r="K765" s="102"/>
      <c r="L765" s="140"/>
      <c r="M765" s="102"/>
      <c r="N765" s="102"/>
      <c r="O765" s="102"/>
      <c r="P765" s="101"/>
      <c r="Q765" s="101"/>
      <c r="R765" s="101"/>
      <c r="S765" s="102"/>
      <c r="T765" s="102"/>
      <c r="U765" s="102"/>
      <c r="V765" s="102"/>
      <c r="W765" s="102"/>
      <c r="X765" s="102"/>
      <c r="Y765" s="102"/>
      <c r="Z765" s="102"/>
      <c r="AA765" s="102"/>
      <c r="AB765" s="102"/>
      <c r="AC765" s="113"/>
      <c r="AD765" s="113"/>
      <c r="AE765" s="113"/>
    </row>
    <row r="766">
      <c r="A766" s="102"/>
      <c r="B766" s="140"/>
      <c r="C766" s="102"/>
      <c r="D766" s="102"/>
      <c r="E766" s="102"/>
      <c r="F766" s="141"/>
      <c r="G766" s="102"/>
      <c r="H766" s="102"/>
      <c r="I766" s="102"/>
      <c r="J766" s="102"/>
      <c r="K766" s="102"/>
      <c r="L766" s="140"/>
      <c r="M766" s="102"/>
      <c r="N766" s="102"/>
      <c r="O766" s="102"/>
      <c r="P766" s="101"/>
      <c r="Q766" s="101"/>
      <c r="R766" s="101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2"/>
      <c r="AC766" s="113"/>
      <c r="AD766" s="113"/>
      <c r="AE766" s="113"/>
    </row>
    <row r="767">
      <c r="A767" s="102"/>
      <c r="B767" s="140"/>
      <c r="C767" s="102"/>
      <c r="D767" s="102"/>
      <c r="E767" s="102"/>
      <c r="F767" s="141"/>
      <c r="G767" s="102"/>
      <c r="H767" s="102"/>
      <c r="I767" s="102"/>
      <c r="J767" s="102"/>
      <c r="K767" s="102"/>
      <c r="L767" s="140"/>
      <c r="M767" s="102"/>
      <c r="N767" s="102"/>
      <c r="O767" s="102"/>
      <c r="P767" s="101"/>
      <c r="Q767" s="101"/>
      <c r="R767" s="101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2"/>
      <c r="AC767" s="113"/>
      <c r="AD767" s="113"/>
      <c r="AE767" s="113"/>
    </row>
    <row r="768">
      <c r="A768" s="102"/>
      <c r="B768" s="140"/>
      <c r="C768" s="102"/>
      <c r="D768" s="102"/>
      <c r="E768" s="102"/>
      <c r="F768" s="141"/>
      <c r="G768" s="102"/>
      <c r="H768" s="102"/>
      <c r="I768" s="102"/>
      <c r="J768" s="102"/>
      <c r="K768" s="102"/>
      <c r="L768" s="140"/>
      <c r="M768" s="102"/>
      <c r="N768" s="102"/>
      <c r="O768" s="102"/>
      <c r="P768" s="101"/>
      <c r="Q768" s="101"/>
      <c r="R768" s="101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2"/>
      <c r="AC768" s="113"/>
      <c r="AD768" s="113"/>
      <c r="AE768" s="113"/>
    </row>
    <row r="769">
      <c r="A769" s="102"/>
      <c r="B769" s="140"/>
      <c r="C769" s="102"/>
      <c r="D769" s="102"/>
      <c r="E769" s="102"/>
      <c r="F769" s="141"/>
      <c r="G769" s="102"/>
      <c r="H769" s="102"/>
      <c r="I769" s="102"/>
      <c r="J769" s="102"/>
      <c r="K769" s="102"/>
      <c r="L769" s="140"/>
      <c r="M769" s="102"/>
      <c r="N769" s="102"/>
      <c r="O769" s="102"/>
      <c r="P769" s="101"/>
      <c r="Q769" s="101"/>
      <c r="R769" s="101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  <c r="AC769" s="113"/>
      <c r="AD769" s="113"/>
      <c r="AE769" s="113"/>
    </row>
    <row r="770">
      <c r="A770" s="102"/>
      <c r="B770" s="140"/>
      <c r="C770" s="102"/>
      <c r="D770" s="102"/>
      <c r="E770" s="102"/>
      <c r="F770" s="141"/>
      <c r="G770" s="102"/>
      <c r="H770" s="102"/>
      <c r="I770" s="102"/>
      <c r="J770" s="102"/>
      <c r="K770" s="102"/>
      <c r="L770" s="140"/>
      <c r="M770" s="102"/>
      <c r="N770" s="102"/>
      <c r="O770" s="102"/>
      <c r="P770" s="101"/>
      <c r="Q770" s="101"/>
      <c r="R770" s="101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2"/>
      <c r="AC770" s="113"/>
      <c r="AD770" s="113"/>
      <c r="AE770" s="113"/>
    </row>
    <row r="771">
      <c r="A771" s="102"/>
      <c r="B771" s="140"/>
      <c r="C771" s="102"/>
      <c r="D771" s="102"/>
      <c r="E771" s="102"/>
      <c r="F771" s="141"/>
      <c r="G771" s="102"/>
      <c r="H771" s="102"/>
      <c r="I771" s="102"/>
      <c r="J771" s="102"/>
      <c r="K771" s="102"/>
      <c r="L771" s="140"/>
      <c r="M771" s="102"/>
      <c r="N771" s="102"/>
      <c r="O771" s="102"/>
      <c r="P771" s="101"/>
      <c r="Q771" s="101"/>
      <c r="R771" s="101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2"/>
      <c r="AC771" s="113"/>
      <c r="AD771" s="113"/>
      <c r="AE771" s="113"/>
    </row>
    <row r="772">
      <c r="A772" s="102"/>
      <c r="B772" s="140"/>
      <c r="C772" s="102"/>
      <c r="D772" s="102"/>
      <c r="E772" s="102"/>
      <c r="F772" s="141"/>
      <c r="G772" s="102"/>
      <c r="H772" s="102"/>
      <c r="I772" s="102"/>
      <c r="J772" s="102"/>
      <c r="K772" s="102"/>
      <c r="L772" s="140"/>
      <c r="M772" s="102"/>
      <c r="N772" s="102"/>
      <c r="O772" s="102"/>
      <c r="P772" s="101"/>
      <c r="Q772" s="101"/>
      <c r="R772" s="101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2"/>
      <c r="AC772" s="113"/>
      <c r="AD772" s="113"/>
      <c r="AE772" s="113"/>
    </row>
    <row r="773">
      <c r="A773" s="102"/>
      <c r="B773" s="140"/>
      <c r="C773" s="102"/>
      <c r="D773" s="102"/>
      <c r="E773" s="102"/>
      <c r="F773" s="141"/>
      <c r="G773" s="102"/>
      <c r="H773" s="102"/>
      <c r="I773" s="102"/>
      <c r="J773" s="102"/>
      <c r="K773" s="102"/>
      <c r="L773" s="140"/>
      <c r="M773" s="102"/>
      <c r="N773" s="102"/>
      <c r="O773" s="102"/>
      <c r="P773" s="101"/>
      <c r="Q773" s="101"/>
      <c r="R773" s="101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2"/>
      <c r="AC773" s="113"/>
      <c r="AD773" s="113"/>
      <c r="AE773" s="113"/>
    </row>
    <row r="774">
      <c r="A774" s="102"/>
      <c r="B774" s="140"/>
      <c r="C774" s="102"/>
      <c r="D774" s="102"/>
      <c r="E774" s="102"/>
      <c r="F774" s="141"/>
      <c r="G774" s="102"/>
      <c r="H774" s="102"/>
      <c r="I774" s="102"/>
      <c r="J774" s="102"/>
      <c r="K774" s="102"/>
      <c r="L774" s="140"/>
      <c r="M774" s="102"/>
      <c r="N774" s="102"/>
      <c r="O774" s="102"/>
      <c r="P774" s="101"/>
      <c r="Q774" s="101"/>
      <c r="R774" s="101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2"/>
      <c r="AC774" s="113"/>
      <c r="AD774" s="113"/>
      <c r="AE774" s="113"/>
    </row>
    <row r="775">
      <c r="A775" s="102"/>
      <c r="B775" s="140"/>
      <c r="C775" s="102"/>
      <c r="D775" s="102"/>
      <c r="E775" s="102"/>
      <c r="F775" s="141"/>
      <c r="G775" s="102"/>
      <c r="H775" s="102"/>
      <c r="I775" s="102"/>
      <c r="J775" s="102"/>
      <c r="K775" s="102"/>
      <c r="L775" s="140"/>
      <c r="M775" s="102"/>
      <c r="N775" s="102"/>
      <c r="O775" s="102"/>
      <c r="P775" s="101"/>
      <c r="Q775" s="101"/>
      <c r="R775" s="101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2"/>
      <c r="AC775" s="113"/>
      <c r="AD775" s="113"/>
      <c r="AE775" s="113"/>
    </row>
    <row r="776">
      <c r="A776" s="102"/>
      <c r="B776" s="140"/>
      <c r="C776" s="102"/>
      <c r="D776" s="102"/>
      <c r="E776" s="102"/>
      <c r="F776" s="141"/>
      <c r="G776" s="102"/>
      <c r="H776" s="102"/>
      <c r="I776" s="102"/>
      <c r="J776" s="102"/>
      <c r="K776" s="102"/>
      <c r="L776" s="140"/>
      <c r="M776" s="102"/>
      <c r="N776" s="102"/>
      <c r="O776" s="102"/>
      <c r="P776" s="101"/>
      <c r="Q776" s="101"/>
      <c r="R776" s="101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  <c r="AC776" s="113"/>
      <c r="AD776" s="113"/>
      <c r="AE776" s="113"/>
    </row>
    <row r="777">
      <c r="A777" s="102"/>
      <c r="B777" s="140"/>
      <c r="C777" s="102"/>
      <c r="D777" s="102"/>
      <c r="E777" s="102"/>
      <c r="F777" s="141"/>
      <c r="G777" s="102"/>
      <c r="H777" s="102"/>
      <c r="I777" s="102"/>
      <c r="J777" s="102"/>
      <c r="K777" s="102"/>
      <c r="L777" s="140"/>
      <c r="M777" s="102"/>
      <c r="N777" s="102"/>
      <c r="O777" s="102"/>
      <c r="P777" s="101"/>
      <c r="Q777" s="101"/>
      <c r="R777" s="101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2"/>
      <c r="AC777" s="113"/>
      <c r="AD777" s="113"/>
      <c r="AE777" s="113"/>
    </row>
    <row r="778">
      <c r="A778" s="102"/>
      <c r="B778" s="140"/>
      <c r="C778" s="102"/>
      <c r="D778" s="102"/>
      <c r="E778" s="102"/>
      <c r="F778" s="141"/>
      <c r="G778" s="102"/>
      <c r="H778" s="102"/>
      <c r="I778" s="102"/>
      <c r="J778" s="102"/>
      <c r="K778" s="102"/>
      <c r="L778" s="140"/>
      <c r="M778" s="102"/>
      <c r="N778" s="102"/>
      <c r="O778" s="102"/>
      <c r="P778" s="101"/>
      <c r="Q778" s="101"/>
      <c r="R778" s="101"/>
      <c r="S778" s="102"/>
      <c r="T778" s="102"/>
      <c r="U778" s="102"/>
      <c r="V778" s="102"/>
      <c r="W778" s="102"/>
      <c r="X778" s="102"/>
      <c r="Y778" s="102"/>
      <c r="Z778" s="102"/>
      <c r="AA778" s="102"/>
      <c r="AB778" s="102"/>
      <c r="AC778" s="113"/>
      <c r="AD778" s="113"/>
      <c r="AE778" s="113"/>
    </row>
    <row r="779">
      <c r="A779" s="102"/>
      <c r="B779" s="140"/>
      <c r="C779" s="102"/>
      <c r="D779" s="102"/>
      <c r="E779" s="102"/>
      <c r="F779" s="141"/>
      <c r="G779" s="102"/>
      <c r="H779" s="102"/>
      <c r="I779" s="102"/>
      <c r="J779" s="102"/>
      <c r="K779" s="102"/>
      <c r="L779" s="140"/>
      <c r="M779" s="102"/>
      <c r="N779" s="102"/>
      <c r="O779" s="102"/>
      <c r="P779" s="101"/>
      <c r="Q779" s="101"/>
      <c r="R779" s="101"/>
      <c r="S779" s="102"/>
      <c r="T779" s="102"/>
      <c r="U779" s="102"/>
      <c r="V779" s="102"/>
      <c r="W779" s="102"/>
      <c r="X779" s="102"/>
      <c r="Y779" s="102"/>
      <c r="Z779" s="102"/>
      <c r="AA779" s="102"/>
      <c r="AB779" s="102"/>
      <c r="AC779" s="113"/>
      <c r="AD779" s="113"/>
      <c r="AE779" s="113"/>
    </row>
    <row r="780">
      <c r="A780" s="102"/>
      <c r="B780" s="140"/>
      <c r="C780" s="102"/>
      <c r="D780" s="102"/>
      <c r="E780" s="102"/>
      <c r="F780" s="141"/>
      <c r="G780" s="102"/>
      <c r="H780" s="102"/>
      <c r="I780" s="102"/>
      <c r="J780" s="102"/>
      <c r="K780" s="102"/>
      <c r="L780" s="140"/>
      <c r="M780" s="102"/>
      <c r="N780" s="102"/>
      <c r="O780" s="102"/>
      <c r="P780" s="101"/>
      <c r="Q780" s="101"/>
      <c r="R780" s="101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13"/>
      <c r="AD780" s="113"/>
      <c r="AE780" s="113"/>
    </row>
    <row r="781">
      <c r="A781" s="102"/>
      <c r="B781" s="140"/>
      <c r="C781" s="102"/>
      <c r="D781" s="102"/>
      <c r="E781" s="102"/>
      <c r="F781" s="141"/>
      <c r="G781" s="102"/>
      <c r="H781" s="102"/>
      <c r="I781" s="102"/>
      <c r="J781" s="102"/>
      <c r="K781" s="102"/>
      <c r="L781" s="140"/>
      <c r="M781" s="102"/>
      <c r="N781" s="102"/>
      <c r="O781" s="102"/>
      <c r="P781" s="101"/>
      <c r="Q781" s="101"/>
      <c r="R781" s="101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2"/>
      <c r="AC781" s="113"/>
      <c r="AD781" s="113"/>
      <c r="AE781" s="113"/>
    </row>
    <row r="782">
      <c r="A782" s="102"/>
      <c r="B782" s="140"/>
      <c r="C782" s="102"/>
      <c r="D782" s="102"/>
      <c r="E782" s="102"/>
      <c r="F782" s="141"/>
      <c r="G782" s="102"/>
      <c r="H782" s="102"/>
      <c r="I782" s="102"/>
      <c r="J782" s="102"/>
      <c r="K782" s="102"/>
      <c r="L782" s="140"/>
      <c r="M782" s="102"/>
      <c r="N782" s="102"/>
      <c r="O782" s="102"/>
      <c r="P782" s="101"/>
      <c r="Q782" s="101"/>
      <c r="R782" s="101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2"/>
      <c r="AC782" s="113"/>
      <c r="AD782" s="113"/>
      <c r="AE782" s="113"/>
    </row>
    <row r="783">
      <c r="A783" s="102"/>
      <c r="B783" s="140"/>
      <c r="C783" s="102"/>
      <c r="D783" s="102"/>
      <c r="E783" s="102"/>
      <c r="F783" s="141"/>
      <c r="G783" s="102"/>
      <c r="H783" s="102"/>
      <c r="I783" s="102"/>
      <c r="J783" s="102"/>
      <c r="K783" s="102"/>
      <c r="L783" s="140"/>
      <c r="M783" s="102"/>
      <c r="N783" s="102"/>
      <c r="O783" s="102"/>
      <c r="P783" s="101"/>
      <c r="Q783" s="101"/>
      <c r="R783" s="101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2"/>
      <c r="AC783" s="113"/>
      <c r="AD783" s="113"/>
      <c r="AE783" s="113"/>
    </row>
    <row r="784">
      <c r="A784" s="102"/>
      <c r="B784" s="140"/>
      <c r="C784" s="102"/>
      <c r="D784" s="102"/>
      <c r="E784" s="102"/>
      <c r="F784" s="141"/>
      <c r="G784" s="102"/>
      <c r="H784" s="102"/>
      <c r="I784" s="102"/>
      <c r="J784" s="102"/>
      <c r="K784" s="102"/>
      <c r="L784" s="140"/>
      <c r="M784" s="102"/>
      <c r="N784" s="102"/>
      <c r="O784" s="102"/>
      <c r="P784" s="101"/>
      <c r="Q784" s="101"/>
      <c r="R784" s="101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2"/>
      <c r="AC784" s="113"/>
      <c r="AD784" s="113"/>
      <c r="AE784" s="113"/>
    </row>
    <row r="785">
      <c r="A785" s="102"/>
      <c r="B785" s="140"/>
      <c r="C785" s="102"/>
      <c r="D785" s="102"/>
      <c r="E785" s="102"/>
      <c r="F785" s="141"/>
      <c r="G785" s="102"/>
      <c r="H785" s="102"/>
      <c r="I785" s="102"/>
      <c r="J785" s="102"/>
      <c r="K785" s="102"/>
      <c r="L785" s="140"/>
      <c r="M785" s="102"/>
      <c r="N785" s="102"/>
      <c r="O785" s="102"/>
      <c r="P785" s="101"/>
      <c r="Q785" s="101"/>
      <c r="R785" s="101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2"/>
      <c r="AC785" s="113"/>
      <c r="AD785" s="113"/>
      <c r="AE785" s="113"/>
    </row>
    <row r="786">
      <c r="A786" s="102"/>
      <c r="B786" s="140"/>
      <c r="C786" s="102"/>
      <c r="D786" s="102"/>
      <c r="E786" s="102"/>
      <c r="F786" s="141"/>
      <c r="G786" s="102"/>
      <c r="H786" s="102"/>
      <c r="I786" s="102"/>
      <c r="J786" s="102"/>
      <c r="K786" s="102"/>
      <c r="L786" s="140"/>
      <c r="M786" s="102"/>
      <c r="N786" s="102"/>
      <c r="O786" s="102"/>
      <c r="P786" s="101"/>
      <c r="Q786" s="101"/>
      <c r="R786" s="101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13"/>
      <c r="AD786" s="113"/>
      <c r="AE786" s="113"/>
    </row>
    <row r="787">
      <c r="A787" s="102"/>
      <c r="B787" s="140"/>
      <c r="C787" s="102"/>
      <c r="D787" s="102"/>
      <c r="E787" s="102"/>
      <c r="F787" s="141"/>
      <c r="G787" s="102"/>
      <c r="H787" s="102"/>
      <c r="I787" s="102"/>
      <c r="J787" s="102"/>
      <c r="K787" s="102"/>
      <c r="L787" s="140"/>
      <c r="M787" s="102"/>
      <c r="N787" s="102"/>
      <c r="O787" s="102"/>
      <c r="P787" s="101"/>
      <c r="Q787" s="101"/>
      <c r="R787" s="101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2"/>
      <c r="AC787" s="113"/>
      <c r="AD787" s="113"/>
      <c r="AE787" s="113"/>
    </row>
    <row r="788">
      <c r="A788" s="102"/>
      <c r="B788" s="140"/>
      <c r="C788" s="102"/>
      <c r="D788" s="102"/>
      <c r="E788" s="102"/>
      <c r="F788" s="141"/>
      <c r="G788" s="102"/>
      <c r="H788" s="102"/>
      <c r="I788" s="102"/>
      <c r="J788" s="102"/>
      <c r="K788" s="102"/>
      <c r="L788" s="140"/>
      <c r="M788" s="102"/>
      <c r="N788" s="102"/>
      <c r="O788" s="102"/>
      <c r="P788" s="101"/>
      <c r="Q788" s="101"/>
      <c r="R788" s="101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2"/>
      <c r="AC788" s="113"/>
      <c r="AD788" s="113"/>
      <c r="AE788" s="113"/>
    </row>
    <row r="789">
      <c r="A789" s="102"/>
      <c r="B789" s="140"/>
      <c r="C789" s="102"/>
      <c r="D789" s="102"/>
      <c r="E789" s="102"/>
      <c r="F789" s="141"/>
      <c r="G789" s="102"/>
      <c r="H789" s="102"/>
      <c r="I789" s="102"/>
      <c r="J789" s="102"/>
      <c r="K789" s="102"/>
      <c r="L789" s="140"/>
      <c r="M789" s="102"/>
      <c r="N789" s="102"/>
      <c r="O789" s="102"/>
      <c r="P789" s="101"/>
      <c r="Q789" s="101"/>
      <c r="R789" s="101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2"/>
      <c r="AC789" s="113"/>
      <c r="AD789" s="113"/>
      <c r="AE789" s="113"/>
    </row>
    <row r="790">
      <c r="A790" s="102"/>
      <c r="B790" s="140"/>
      <c r="C790" s="102"/>
      <c r="D790" s="102"/>
      <c r="E790" s="102"/>
      <c r="F790" s="141"/>
      <c r="G790" s="102"/>
      <c r="H790" s="102"/>
      <c r="I790" s="102"/>
      <c r="J790" s="102"/>
      <c r="K790" s="102"/>
      <c r="L790" s="140"/>
      <c r="M790" s="102"/>
      <c r="N790" s="102"/>
      <c r="O790" s="102"/>
      <c r="P790" s="101"/>
      <c r="Q790" s="101"/>
      <c r="R790" s="101"/>
      <c r="S790" s="102"/>
      <c r="T790" s="102"/>
      <c r="U790" s="102"/>
      <c r="V790" s="102"/>
      <c r="W790" s="102"/>
      <c r="X790" s="102"/>
      <c r="Y790" s="102"/>
      <c r="Z790" s="102"/>
      <c r="AA790" s="102"/>
      <c r="AB790" s="102"/>
      <c r="AC790" s="113"/>
      <c r="AD790" s="113"/>
      <c r="AE790" s="113"/>
    </row>
    <row r="791">
      <c r="A791" s="102"/>
      <c r="B791" s="140"/>
      <c r="C791" s="102"/>
      <c r="D791" s="102"/>
      <c r="E791" s="102"/>
      <c r="F791" s="141"/>
      <c r="G791" s="102"/>
      <c r="H791" s="102"/>
      <c r="I791" s="102"/>
      <c r="J791" s="102"/>
      <c r="K791" s="102"/>
      <c r="L791" s="140"/>
      <c r="M791" s="102"/>
      <c r="N791" s="102"/>
      <c r="O791" s="102"/>
      <c r="P791" s="101"/>
      <c r="Q791" s="101"/>
      <c r="R791" s="101"/>
      <c r="S791" s="102"/>
      <c r="T791" s="102"/>
      <c r="U791" s="102"/>
      <c r="V791" s="102"/>
      <c r="W791" s="102"/>
      <c r="X791" s="102"/>
      <c r="Y791" s="102"/>
      <c r="Z791" s="102"/>
      <c r="AA791" s="102"/>
      <c r="AB791" s="102"/>
      <c r="AC791" s="113"/>
      <c r="AD791" s="113"/>
      <c r="AE791" s="113"/>
    </row>
    <row r="792">
      <c r="A792" s="102"/>
      <c r="B792" s="140"/>
      <c r="C792" s="102"/>
      <c r="D792" s="102"/>
      <c r="E792" s="102"/>
      <c r="F792" s="141"/>
      <c r="G792" s="102"/>
      <c r="H792" s="102"/>
      <c r="I792" s="102"/>
      <c r="J792" s="102"/>
      <c r="K792" s="102"/>
      <c r="L792" s="140"/>
      <c r="M792" s="102"/>
      <c r="N792" s="102"/>
      <c r="O792" s="102"/>
      <c r="P792" s="101"/>
      <c r="Q792" s="101"/>
      <c r="R792" s="101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2"/>
      <c r="AC792" s="113"/>
      <c r="AD792" s="113"/>
      <c r="AE792" s="113"/>
    </row>
    <row r="793">
      <c r="A793" s="102"/>
      <c r="B793" s="140"/>
      <c r="C793" s="102"/>
      <c r="D793" s="102"/>
      <c r="E793" s="102"/>
      <c r="F793" s="141"/>
      <c r="G793" s="102"/>
      <c r="H793" s="102"/>
      <c r="I793" s="102"/>
      <c r="J793" s="102"/>
      <c r="K793" s="102"/>
      <c r="L793" s="140"/>
      <c r="M793" s="102"/>
      <c r="N793" s="102"/>
      <c r="O793" s="102"/>
      <c r="P793" s="101"/>
      <c r="Q793" s="101"/>
      <c r="R793" s="101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  <c r="AC793" s="113"/>
      <c r="AD793" s="113"/>
      <c r="AE793" s="113"/>
    </row>
    <row r="794">
      <c r="A794" s="102"/>
      <c r="B794" s="140"/>
      <c r="C794" s="102"/>
      <c r="D794" s="102"/>
      <c r="E794" s="102"/>
      <c r="F794" s="141"/>
      <c r="G794" s="102"/>
      <c r="H794" s="102"/>
      <c r="I794" s="102"/>
      <c r="J794" s="102"/>
      <c r="K794" s="102"/>
      <c r="L794" s="140"/>
      <c r="M794" s="102"/>
      <c r="N794" s="102"/>
      <c r="O794" s="102"/>
      <c r="P794" s="101"/>
      <c r="Q794" s="101"/>
      <c r="R794" s="101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2"/>
      <c r="AC794" s="113"/>
      <c r="AD794" s="113"/>
      <c r="AE794" s="113"/>
    </row>
    <row r="795">
      <c r="A795" s="102"/>
      <c r="B795" s="140"/>
      <c r="C795" s="102"/>
      <c r="D795" s="102"/>
      <c r="E795" s="102"/>
      <c r="F795" s="141"/>
      <c r="G795" s="102"/>
      <c r="H795" s="102"/>
      <c r="I795" s="102"/>
      <c r="J795" s="102"/>
      <c r="K795" s="102"/>
      <c r="L795" s="140"/>
      <c r="M795" s="102"/>
      <c r="N795" s="102"/>
      <c r="O795" s="102"/>
      <c r="P795" s="101"/>
      <c r="Q795" s="101"/>
      <c r="R795" s="101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2"/>
      <c r="AC795" s="113"/>
      <c r="AD795" s="113"/>
      <c r="AE795" s="113"/>
    </row>
    <row r="796">
      <c r="A796" s="102"/>
      <c r="B796" s="140"/>
      <c r="C796" s="102"/>
      <c r="D796" s="102"/>
      <c r="E796" s="102"/>
      <c r="F796" s="141"/>
      <c r="G796" s="102"/>
      <c r="H796" s="102"/>
      <c r="I796" s="102"/>
      <c r="J796" s="102"/>
      <c r="K796" s="102"/>
      <c r="L796" s="140"/>
      <c r="M796" s="102"/>
      <c r="N796" s="102"/>
      <c r="O796" s="102"/>
      <c r="P796" s="101"/>
      <c r="Q796" s="101"/>
      <c r="R796" s="101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2"/>
      <c r="AC796" s="113"/>
      <c r="AD796" s="113"/>
      <c r="AE796" s="113"/>
    </row>
    <row r="797">
      <c r="A797" s="102"/>
      <c r="B797" s="140"/>
      <c r="C797" s="102"/>
      <c r="D797" s="102"/>
      <c r="E797" s="102"/>
      <c r="F797" s="141"/>
      <c r="G797" s="102"/>
      <c r="H797" s="102"/>
      <c r="I797" s="102"/>
      <c r="J797" s="102"/>
      <c r="K797" s="102"/>
      <c r="L797" s="140"/>
      <c r="M797" s="102"/>
      <c r="N797" s="102"/>
      <c r="O797" s="102"/>
      <c r="P797" s="101"/>
      <c r="Q797" s="101"/>
      <c r="R797" s="101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2"/>
      <c r="AC797" s="113"/>
      <c r="AD797" s="113"/>
      <c r="AE797" s="113"/>
    </row>
    <row r="798">
      <c r="A798" s="102"/>
      <c r="B798" s="140"/>
      <c r="C798" s="102"/>
      <c r="D798" s="102"/>
      <c r="E798" s="102"/>
      <c r="F798" s="141"/>
      <c r="G798" s="102"/>
      <c r="H798" s="102"/>
      <c r="I798" s="102"/>
      <c r="J798" s="102"/>
      <c r="K798" s="102"/>
      <c r="L798" s="140"/>
      <c r="M798" s="102"/>
      <c r="N798" s="102"/>
      <c r="O798" s="102"/>
      <c r="P798" s="101"/>
      <c r="Q798" s="101"/>
      <c r="R798" s="101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  <c r="AC798" s="113"/>
      <c r="AD798" s="113"/>
      <c r="AE798" s="113"/>
    </row>
    <row r="799">
      <c r="A799" s="102"/>
      <c r="B799" s="140"/>
      <c r="C799" s="102"/>
      <c r="D799" s="102"/>
      <c r="E799" s="102"/>
      <c r="F799" s="141"/>
      <c r="G799" s="102"/>
      <c r="H799" s="102"/>
      <c r="I799" s="102"/>
      <c r="J799" s="102"/>
      <c r="K799" s="102"/>
      <c r="L799" s="140"/>
      <c r="M799" s="102"/>
      <c r="N799" s="102"/>
      <c r="O799" s="102"/>
      <c r="P799" s="101"/>
      <c r="Q799" s="101"/>
      <c r="R799" s="101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2"/>
      <c r="AC799" s="113"/>
      <c r="AD799" s="113"/>
      <c r="AE799" s="113"/>
    </row>
    <row r="800">
      <c r="A800" s="102"/>
      <c r="B800" s="140"/>
      <c r="C800" s="102"/>
      <c r="D800" s="102"/>
      <c r="E800" s="102"/>
      <c r="F800" s="141"/>
      <c r="G800" s="102"/>
      <c r="H800" s="102"/>
      <c r="I800" s="102"/>
      <c r="J800" s="102"/>
      <c r="K800" s="102"/>
      <c r="L800" s="140"/>
      <c r="M800" s="102"/>
      <c r="N800" s="102"/>
      <c r="O800" s="102"/>
      <c r="P800" s="101"/>
      <c r="Q800" s="101"/>
      <c r="R800" s="101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  <c r="AC800" s="113"/>
      <c r="AD800" s="113"/>
      <c r="AE800" s="113"/>
    </row>
    <row r="801">
      <c r="A801" s="102"/>
      <c r="B801" s="140"/>
      <c r="C801" s="102"/>
      <c r="D801" s="102"/>
      <c r="E801" s="102"/>
      <c r="F801" s="141"/>
      <c r="G801" s="102"/>
      <c r="H801" s="102"/>
      <c r="I801" s="102"/>
      <c r="J801" s="102"/>
      <c r="K801" s="102"/>
      <c r="L801" s="140"/>
      <c r="M801" s="102"/>
      <c r="N801" s="102"/>
      <c r="O801" s="102"/>
      <c r="P801" s="101"/>
      <c r="Q801" s="101"/>
      <c r="R801" s="101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2"/>
      <c r="AC801" s="113"/>
      <c r="AD801" s="113"/>
      <c r="AE801" s="113"/>
    </row>
    <row r="802">
      <c r="A802" s="102"/>
      <c r="B802" s="140"/>
      <c r="C802" s="102"/>
      <c r="D802" s="102"/>
      <c r="E802" s="102"/>
      <c r="F802" s="141"/>
      <c r="G802" s="102"/>
      <c r="H802" s="102"/>
      <c r="I802" s="102"/>
      <c r="J802" s="102"/>
      <c r="K802" s="102"/>
      <c r="L802" s="140"/>
      <c r="M802" s="102"/>
      <c r="N802" s="102"/>
      <c r="O802" s="102"/>
      <c r="P802" s="101"/>
      <c r="Q802" s="101"/>
      <c r="R802" s="101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  <c r="AC802" s="113"/>
      <c r="AD802" s="113"/>
      <c r="AE802" s="113"/>
    </row>
    <row r="803">
      <c r="A803" s="102"/>
      <c r="B803" s="140"/>
      <c r="C803" s="102"/>
      <c r="D803" s="102"/>
      <c r="E803" s="102"/>
      <c r="F803" s="141"/>
      <c r="G803" s="102"/>
      <c r="H803" s="102"/>
      <c r="I803" s="102"/>
      <c r="J803" s="102"/>
      <c r="K803" s="102"/>
      <c r="L803" s="140"/>
      <c r="M803" s="102"/>
      <c r="N803" s="102"/>
      <c r="O803" s="102"/>
      <c r="P803" s="101"/>
      <c r="Q803" s="101"/>
      <c r="R803" s="101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2"/>
      <c r="AC803" s="113"/>
      <c r="AD803" s="113"/>
      <c r="AE803" s="113"/>
    </row>
    <row r="804">
      <c r="A804" s="102"/>
      <c r="B804" s="140"/>
      <c r="C804" s="102"/>
      <c r="D804" s="102"/>
      <c r="E804" s="102"/>
      <c r="F804" s="141"/>
      <c r="G804" s="102"/>
      <c r="H804" s="102"/>
      <c r="I804" s="102"/>
      <c r="J804" s="102"/>
      <c r="K804" s="102"/>
      <c r="L804" s="140"/>
      <c r="M804" s="102"/>
      <c r="N804" s="102"/>
      <c r="O804" s="102"/>
      <c r="P804" s="101"/>
      <c r="Q804" s="101"/>
      <c r="R804" s="101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2"/>
      <c r="AC804" s="113"/>
      <c r="AD804" s="113"/>
      <c r="AE804" s="113"/>
    </row>
    <row r="805">
      <c r="A805" s="102"/>
      <c r="B805" s="140"/>
      <c r="C805" s="102"/>
      <c r="D805" s="102"/>
      <c r="E805" s="102"/>
      <c r="F805" s="141"/>
      <c r="G805" s="102"/>
      <c r="H805" s="102"/>
      <c r="I805" s="102"/>
      <c r="J805" s="102"/>
      <c r="K805" s="102"/>
      <c r="L805" s="140"/>
      <c r="M805" s="102"/>
      <c r="N805" s="102"/>
      <c r="O805" s="102"/>
      <c r="P805" s="101"/>
      <c r="Q805" s="101"/>
      <c r="R805" s="101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2"/>
      <c r="AC805" s="113"/>
      <c r="AD805" s="113"/>
      <c r="AE805" s="113"/>
    </row>
    <row r="806">
      <c r="A806" s="102"/>
      <c r="B806" s="140"/>
      <c r="C806" s="102"/>
      <c r="D806" s="102"/>
      <c r="E806" s="102"/>
      <c r="F806" s="141"/>
      <c r="G806" s="102"/>
      <c r="H806" s="102"/>
      <c r="I806" s="102"/>
      <c r="J806" s="102"/>
      <c r="K806" s="102"/>
      <c r="L806" s="140"/>
      <c r="M806" s="102"/>
      <c r="N806" s="102"/>
      <c r="O806" s="102"/>
      <c r="P806" s="101"/>
      <c r="Q806" s="101"/>
      <c r="R806" s="101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2"/>
      <c r="AC806" s="113"/>
      <c r="AD806" s="113"/>
      <c r="AE806" s="113"/>
    </row>
    <row r="807">
      <c r="A807" s="102"/>
      <c r="B807" s="140"/>
      <c r="C807" s="102"/>
      <c r="D807" s="102"/>
      <c r="E807" s="102"/>
      <c r="F807" s="141"/>
      <c r="G807" s="102"/>
      <c r="H807" s="102"/>
      <c r="I807" s="102"/>
      <c r="J807" s="102"/>
      <c r="K807" s="102"/>
      <c r="L807" s="140"/>
      <c r="M807" s="102"/>
      <c r="N807" s="102"/>
      <c r="O807" s="102"/>
      <c r="P807" s="101"/>
      <c r="Q807" s="101"/>
      <c r="R807" s="101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2"/>
      <c r="AC807" s="113"/>
      <c r="AD807" s="113"/>
      <c r="AE807" s="113"/>
    </row>
    <row r="808">
      <c r="A808" s="102"/>
      <c r="B808" s="140"/>
      <c r="C808" s="102"/>
      <c r="D808" s="102"/>
      <c r="E808" s="102"/>
      <c r="F808" s="141"/>
      <c r="G808" s="102"/>
      <c r="H808" s="102"/>
      <c r="I808" s="102"/>
      <c r="J808" s="102"/>
      <c r="K808" s="102"/>
      <c r="L808" s="140"/>
      <c r="M808" s="102"/>
      <c r="N808" s="102"/>
      <c r="O808" s="102"/>
      <c r="P808" s="101"/>
      <c r="Q808" s="101"/>
      <c r="R808" s="101"/>
      <c r="S808" s="102"/>
      <c r="T808" s="102"/>
      <c r="U808" s="102"/>
      <c r="V808" s="102"/>
      <c r="W808" s="102"/>
      <c r="X808" s="102"/>
      <c r="Y808" s="102"/>
      <c r="Z808" s="102"/>
      <c r="AA808" s="102"/>
      <c r="AB808" s="102"/>
      <c r="AC808" s="113"/>
      <c r="AD808" s="113"/>
      <c r="AE808" s="113"/>
    </row>
    <row r="809">
      <c r="A809" s="102"/>
      <c r="B809" s="140"/>
      <c r="C809" s="102"/>
      <c r="D809" s="102"/>
      <c r="E809" s="102"/>
      <c r="F809" s="141"/>
      <c r="G809" s="102"/>
      <c r="H809" s="102"/>
      <c r="I809" s="102"/>
      <c r="J809" s="102"/>
      <c r="K809" s="102"/>
      <c r="L809" s="140"/>
      <c r="M809" s="102"/>
      <c r="N809" s="102"/>
      <c r="O809" s="102"/>
      <c r="P809" s="101"/>
      <c r="Q809" s="101"/>
      <c r="R809" s="101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2"/>
      <c r="AC809" s="113"/>
      <c r="AD809" s="113"/>
      <c r="AE809" s="113"/>
    </row>
    <row r="810">
      <c r="A810" s="102"/>
      <c r="B810" s="140"/>
      <c r="C810" s="102"/>
      <c r="D810" s="102"/>
      <c r="E810" s="102"/>
      <c r="F810" s="141"/>
      <c r="G810" s="102"/>
      <c r="H810" s="102"/>
      <c r="I810" s="102"/>
      <c r="J810" s="102"/>
      <c r="K810" s="102"/>
      <c r="L810" s="140"/>
      <c r="M810" s="102"/>
      <c r="N810" s="102"/>
      <c r="O810" s="102"/>
      <c r="P810" s="101"/>
      <c r="Q810" s="101"/>
      <c r="R810" s="101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13"/>
      <c r="AD810" s="113"/>
      <c r="AE810" s="113"/>
    </row>
    <row r="811">
      <c r="A811" s="102"/>
      <c r="B811" s="140"/>
      <c r="C811" s="102"/>
      <c r="D811" s="102"/>
      <c r="E811" s="102"/>
      <c r="F811" s="141"/>
      <c r="G811" s="102"/>
      <c r="H811" s="102"/>
      <c r="I811" s="102"/>
      <c r="J811" s="102"/>
      <c r="K811" s="102"/>
      <c r="L811" s="140"/>
      <c r="M811" s="102"/>
      <c r="N811" s="102"/>
      <c r="O811" s="102"/>
      <c r="P811" s="101"/>
      <c r="Q811" s="101"/>
      <c r="R811" s="101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2"/>
      <c r="AC811" s="113"/>
      <c r="AD811" s="113"/>
      <c r="AE811" s="113"/>
    </row>
    <row r="812">
      <c r="A812" s="102"/>
      <c r="B812" s="140"/>
      <c r="C812" s="102"/>
      <c r="D812" s="102"/>
      <c r="E812" s="102"/>
      <c r="F812" s="141"/>
      <c r="G812" s="102"/>
      <c r="H812" s="102"/>
      <c r="I812" s="102"/>
      <c r="J812" s="102"/>
      <c r="K812" s="102"/>
      <c r="L812" s="140"/>
      <c r="M812" s="102"/>
      <c r="N812" s="102"/>
      <c r="O812" s="102"/>
      <c r="P812" s="101"/>
      <c r="Q812" s="101"/>
      <c r="R812" s="101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2"/>
      <c r="AC812" s="113"/>
      <c r="AD812" s="113"/>
      <c r="AE812" s="113"/>
    </row>
    <row r="813">
      <c r="A813" s="102"/>
      <c r="B813" s="140"/>
      <c r="C813" s="102"/>
      <c r="D813" s="102"/>
      <c r="E813" s="102"/>
      <c r="F813" s="141"/>
      <c r="G813" s="102"/>
      <c r="H813" s="102"/>
      <c r="I813" s="102"/>
      <c r="J813" s="102"/>
      <c r="K813" s="102"/>
      <c r="L813" s="140"/>
      <c r="M813" s="102"/>
      <c r="N813" s="102"/>
      <c r="O813" s="102"/>
      <c r="P813" s="101"/>
      <c r="Q813" s="101"/>
      <c r="R813" s="101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  <c r="AC813" s="113"/>
      <c r="AD813" s="113"/>
      <c r="AE813" s="113"/>
    </row>
    <row r="814">
      <c r="A814" s="102"/>
      <c r="B814" s="140"/>
      <c r="C814" s="102"/>
      <c r="D814" s="102"/>
      <c r="E814" s="102"/>
      <c r="F814" s="141"/>
      <c r="G814" s="102"/>
      <c r="H814" s="102"/>
      <c r="I814" s="102"/>
      <c r="J814" s="102"/>
      <c r="K814" s="102"/>
      <c r="L814" s="140"/>
      <c r="M814" s="102"/>
      <c r="N814" s="102"/>
      <c r="O814" s="102"/>
      <c r="P814" s="101"/>
      <c r="Q814" s="101"/>
      <c r="R814" s="101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2"/>
      <c r="AC814" s="113"/>
      <c r="AD814" s="113"/>
      <c r="AE814" s="113"/>
    </row>
    <row r="815">
      <c r="A815" s="102"/>
      <c r="B815" s="140"/>
      <c r="C815" s="102"/>
      <c r="D815" s="102"/>
      <c r="E815" s="102"/>
      <c r="F815" s="141"/>
      <c r="G815" s="102"/>
      <c r="H815" s="102"/>
      <c r="I815" s="102"/>
      <c r="J815" s="102"/>
      <c r="K815" s="102"/>
      <c r="L815" s="140"/>
      <c r="M815" s="102"/>
      <c r="N815" s="102"/>
      <c r="O815" s="102"/>
      <c r="P815" s="101"/>
      <c r="Q815" s="101"/>
      <c r="R815" s="101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2"/>
      <c r="AC815" s="113"/>
      <c r="AD815" s="113"/>
      <c r="AE815" s="113"/>
    </row>
    <row r="816">
      <c r="A816" s="102"/>
      <c r="B816" s="140"/>
      <c r="C816" s="102"/>
      <c r="D816" s="102"/>
      <c r="E816" s="102"/>
      <c r="F816" s="141"/>
      <c r="G816" s="102"/>
      <c r="H816" s="102"/>
      <c r="I816" s="102"/>
      <c r="J816" s="102"/>
      <c r="K816" s="102"/>
      <c r="L816" s="140"/>
      <c r="M816" s="102"/>
      <c r="N816" s="102"/>
      <c r="O816" s="102"/>
      <c r="P816" s="101"/>
      <c r="Q816" s="101"/>
      <c r="R816" s="101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2"/>
      <c r="AC816" s="113"/>
      <c r="AD816" s="113"/>
      <c r="AE816" s="113"/>
    </row>
    <row r="817">
      <c r="A817" s="102"/>
      <c r="B817" s="140"/>
      <c r="C817" s="102"/>
      <c r="D817" s="102"/>
      <c r="E817" s="102"/>
      <c r="F817" s="141"/>
      <c r="G817" s="102"/>
      <c r="H817" s="102"/>
      <c r="I817" s="102"/>
      <c r="J817" s="102"/>
      <c r="K817" s="102"/>
      <c r="L817" s="140"/>
      <c r="M817" s="102"/>
      <c r="N817" s="102"/>
      <c r="O817" s="102"/>
      <c r="P817" s="101"/>
      <c r="Q817" s="101"/>
      <c r="R817" s="101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  <c r="AC817" s="113"/>
      <c r="AD817" s="113"/>
      <c r="AE817" s="113"/>
    </row>
    <row r="818">
      <c r="A818" s="102"/>
      <c r="B818" s="140"/>
      <c r="C818" s="102"/>
      <c r="D818" s="102"/>
      <c r="E818" s="102"/>
      <c r="F818" s="141"/>
      <c r="G818" s="102"/>
      <c r="H818" s="102"/>
      <c r="I818" s="102"/>
      <c r="J818" s="102"/>
      <c r="K818" s="102"/>
      <c r="L818" s="140"/>
      <c r="M818" s="102"/>
      <c r="N818" s="102"/>
      <c r="O818" s="102"/>
      <c r="P818" s="101"/>
      <c r="Q818" s="101"/>
      <c r="R818" s="101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2"/>
      <c r="AC818" s="113"/>
      <c r="AD818" s="113"/>
      <c r="AE818" s="113"/>
    </row>
    <row r="819">
      <c r="A819" s="102"/>
      <c r="B819" s="140"/>
      <c r="C819" s="102"/>
      <c r="D819" s="102"/>
      <c r="E819" s="102"/>
      <c r="F819" s="141"/>
      <c r="G819" s="102"/>
      <c r="H819" s="102"/>
      <c r="I819" s="102"/>
      <c r="J819" s="102"/>
      <c r="K819" s="102"/>
      <c r="L819" s="140"/>
      <c r="M819" s="102"/>
      <c r="N819" s="102"/>
      <c r="O819" s="102"/>
      <c r="P819" s="101"/>
      <c r="Q819" s="101"/>
      <c r="R819" s="101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  <c r="AC819" s="113"/>
      <c r="AD819" s="113"/>
      <c r="AE819" s="113"/>
    </row>
    <row r="820">
      <c r="A820" s="102"/>
      <c r="B820" s="140"/>
      <c r="C820" s="102"/>
      <c r="D820" s="102"/>
      <c r="E820" s="102"/>
      <c r="F820" s="141"/>
      <c r="G820" s="102"/>
      <c r="H820" s="102"/>
      <c r="I820" s="102"/>
      <c r="J820" s="102"/>
      <c r="K820" s="102"/>
      <c r="L820" s="140"/>
      <c r="M820" s="102"/>
      <c r="N820" s="102"/>
      <c r="O820" s="102"/>
      <c r="P820" s="101"/>
      <c r="Q820" s="101"/>
      <c r="R820" s="101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2"/>
      <c r="AC820" s="113"/>
      <c r="AD820" s="113"/>
      <c r="AE820" s="113"/>
    </row>
    <row r="821">
      <c r="A821" s="102"/>
      <c r="B821" s="140"/>
      <c r="C821" s="102"/>
      <c r="D821" s="102"/>
      <c r="E821" s="102"/>
      <c r="F821" s="141"/>
      <c r="G821" s="102"/>
      <c r="H821" s="102"/>
      <c r="I821" s="102"/>
      <c r="J821" s="102"/>
      <c r="K821" s="102"/>
      <c r="L821" s="140"/>
      <c r="M821" s="102"/>
      <c r="N821" s="102"/>
      <c r="O821" s="102"/>
      <c r="P821" s="101"/>
      <c r="Q821" s="101"/>
      <c r="R821" s="101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2"/>
      <c r="AC821" s="113"/>
      <c r="AD821" s="113"/>
      <c r="AE821" s="113"/>
    </row>
    <row r="822">
      <c r="A822" s="102"/>
      <c r="B822" s="140"/>
      <c r="C822" s="102"/>
      <c r="D822" s="102"/>
      <c r="E822" s="102"/>
      <c r="F822" s="141"/>
      <c r="G822" s="102"/>
      <c r="H822" s="102"/>
      <c r="I822" s="102"/>
      <c r="J822" s="102"/>
      <c r="K822" s="102"/>
      <c r="L822" s="140"/>
      <c r="M822" s="102"/>
      <c r="N822" s="102"/>
      <c r="O822" s="102"/>
      <c r="P822" s="101"/>
      <c r="Q822" s="101"/>
      <c r="R822" s="101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2"/>
      <c r="AC822" s="113"/>
      <c r="AD822" s="113"/>
      <c r="AE822" s="113"/>
    </row>
    <row r="823">
      <c r="A823" s="102"/>
      <c r="B823" s="140"/>
      <c r="C823" s="102"/>
      <c r="D823" s="102"/>
      <c r="E823" s="102"/>
      <c r="F823" s="141"/>
      <c r="G823" s="102"/>
      <c r="H823" s="102"/>
      <c r="I823" s="102"/>
      <c r="J823" s="102"/>
      <c r="K823" s="102"/>
      <c r="L823" s="140"/>
      <c r="M823" s="102"/>
      <c r="N823" s="102"/>
      <c r="O823" s="102"/>
      <c r="P823" s="101"/>
      <c r="Q823" s="101"/>
      <c r="R823" s="101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2"/>
      <c r="AC823" s="113"/>
      <c r="AD823" s="113"/>
      <c r="AE823" s="113"/>
    </row>
    <row r="824">
      <c r="A824" s="102"/>
      <c r="B824" s="140"/>
      <c r="C824" s="102"/>
      <c r="D824" s="102"/>
      <c r="E824" s="102"/>
      <c r="F824" s="141"/>
      <c r="G824" s="102"/>
      <c r="H824" s="102"/>
      <c r="I824" s="102"/>
      <c r="J824" s="102"/>
      <c r="K824" s="102"/>
      <c r="L824" s="140"/>
      <c r="M824" s="102"/>
      <c r="N824" s="102"/>
      <c r="O824" s="102"/>
      <c r="P824" s="101"/>
      <c r="Q824" s="101"/>
      <c r="R824" s="101"/>
      <c r="S824" s="102"/>
      <c r="T824" s="102"/>
      <c r="U824" s="102"/>
      <c r="V824" s="102"/>
      <c r="W824" s="102"/>
      <c r="X824" s="102"/>
      <c r="Y824" s="102"/>
      <c r="Z824" s="102"/>
      <c r="AA824" s="102"/>
      <c r="AB824" s="102"/>
      <c r="AC824" s="113"/>
      <c r="AD824" s="113"/>
      <c r="AE824" s="113"/>
    </row>
    <row r="825">
      <c r="A825" s="102"/>
      <c r="B825" s="140"/>
      <c r="C825" s="102"/>
      <c r="D825" s="102"/>
      <c r="E825" s="102"/>
      <c r="F825" s="141"/>
      <c r="G825" s="102"/>
      <c r="H825" s="102"/>
      <c r="I825" s="102"/>
      <c r="J825" s="102"/>
      <c r="K825" s="102"/>
      <c r="L825" s="140"/>
      <c r="M825" s="102"/>
      <c r="N825" s="102"/>
      <c r="O825" s="102"/>
      <c r="P825" s="101"/>
      <c r="Q825" s="101"/>
      <c r="R825" s="101"/>
      <c r="S825" s="102"/>
      <c r="T825" s="102"/>
      <c r="U825" s="102"/>
      <c r="V825" s="102"/>
      <c r="W825" s="102"/>
      <c r="X825" s="102"/>
      <c r="Y825" s="102"/>
      <c r="Z825" s="102"/>
      <c r="AA825" s="102"/>
      <c r="AB825" s="102"/>
      <c r="AC825" s="113"/>
      <c r="AD825" s="113"/>
      <c r="AE825" s="113"/>
    </row>
    <row r="826">
      <c r="A826" s="102"/>
      <c r="B826" s="140"/>
      <c r="C826" s="102"/>
      <c r="D826" s="102"/>
      <c r="E826" s="102"/>
      <c r="F826" s="141"/>
      <c r="G826" s="102"/>
      <c r="H826" s="102"/>
      <c r="I826" s="102"/>
      <c r="J826" s="102"/>
      <c r="K826" s="102"/>
      <c r="L826" s="140"/>
      <c r="M826" s="102"/>
      <c r="N826" s="102"/>
      <c r="O826" s="102"/>
      <c r="P826" s="101"/>
      <c r="Q826" s="101"/>
      <c r="R826" s="101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2"/>
      <c r="AC826" s="113"/>
      <c r="AD826" s="113"/>
      <c r="AE826" s="113"/>
    </row>
    <row r="827">
      <c r="A827" s="102"/>
      <c r="B827" s="140"/>
      <c r="C827" s="102"/>
      <c r="D827" s="102"/>
      <c r="E827" s="102"/>
      <c r="F827" s="141"/>
      <c r="G827" s="102"/>
      <c r="H827" s="102"/>
      <c r="I827" s="102"/>
      <c r="J827" s="102"/>
      <c r="K827" s="102"/>
      <c r="L827" s="140"/>
      <c r="M827" s="102"/>
      <c r="N827" s="102"/>
      <c r="O827" s="102"/>
      <c r="P827" s="101"/>
      <c r="Q827" s="101"/>
      <c r="R827" s="101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2"/>
      <c r="AC827" s="113"/>
      <c r="AD827" s="113"/>
      <c r="AE827" s="113"/>
    </row>
    <row r="828">
      <c r="A828" s="102"/>
      <c r="B828" s="140"/>
      <c r="C828" s="102"/>
      <c r="D828" s="102"/>
      <c r="E828" s="102"/>
      <c r="F828" s="141"/>
      <c r="G828" s="102"/>
      <c r="H828" s="102"/>
      <c r="I828" s="102"/>
      <c r="J828" s="102"/>
      <c r="K828" s="102"/>
      <c r="L828" s="140"/>
      <c r="M828" s="102"/>
      <c r="N828" s="102"/>
      <c r="O828" s="102"/>
      <c r="P828" s="101"/>
      <c r="Q828" s="101"/>
      <c r="R828" s="101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2"/>
      <c r="AC828" s="113"/>
      <c r="AD828" s="113"/>
      <c r="AE828" s="113"/>
    </row>
    <row r="829">
      <c r="A829" s="102"/>
      <c r="B829" s="140"/>
      <c r="C829" s="102"/>
      <c r="D829" s="102"/>
      <c r="E829" s="102"/>
      <c r="F829" s="141"/>
      <c r="G829" s="102"/>
      <c r="H829" s="102"/>
      <c r="I829" s="102"/>
      <c r="J829" s="102"/>
      <c r="K829" s="102"/>
      <c r="L829" s="140"/>
      <c r="M829" s="102"/>
      <c r="N829" s="102"/>
      <c r="O829" s="102"/>
      <c r="P829" s="101"/>
      <c r="Q829" s="101"/>
      <c r="R829" s="101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2"/>
      <c r="AC829" s="113"/>
      <c r="AD829" s="113"/>
      <c r="AE829" s="113"/>
    </row>
    <row r="830">
      <c r="A830" s="102"/>
      <c r="B830" s="140"/>
      <c r="C830" s="102"/>
      <c r="D830" s="102"/>
      <c r="E830" s="102"/>
      <c r="F830" s="141"/>
      <c r="G830" s="102"/>
      <c r="H830" s="102"/>
      <c r="I830" s="102"/>
      <c r="J830" s="102"/>
      <c r="K830" s="102"/>
      <c r="L830" s="140"/>
      <c r="M830" s="102"/>
      <c r="N830" s="102"/>
      <c r="O830" s="102"/>
      <c r="P830" s="101"/>
      <c r="Q830" s="101"/>
      <c r="R830" s="101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2"/>
      <c r="AC830" s="113"/>
      <c r="AD830" s="113"/>
      <c r="AE830" s="113"/>
    </row>
    <row r="831">
      <c r="A831" s="102"/>
      <c r="B831" s="140"/>
      <c r="C831" s="102"/>
      <c r="D831" s="102"/>
      <c r="E831" s="102"/>
      <c r="F831" s="141"/>
      <c r="G831" s="102"/>
      <c r="H831" s="102"/>
      <c r="I831" s="102"/>
      <c r="J831" s="102"/>
      <c r="K831" s="102"/>
      <c r="L831" s="140"/>
      <c r="M831" s="102"/>
      <c r="N831" s="102"/>
      <c r="O831" s="102"/>
      <c r="P831" s="101"/>
      <c r="Q831" s="101"/>
      <c r="R831" s="101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  <c r="AC831" s="113"/>
      <c r="AD831" s="113"/>
      <c r="AE831" s="113"/>
    </row>
    <row r="832">
      <c r="A832" s="102"/>
      <c r="B832" s="140"/>
      <c r="C832" s="102"/>
      <c r="D832" s="102"/>
      <c r="E832" s="102"/>
      <c r="F832" s="141"/>
      <c r="G832" s="102"/>
      <c r="H832" s="102"/>
      <c r="I832" s="102"/>
      <c r="J832" s="102"/>
      <c r="K832" s="102"/>
      <c r="L832" s="140"/>
      <c r="M832" s="102"/>
      <c r="N832" s="102"/>
      <c r="O832" s="102"/>
      <c r="P832" s="101"/>
      <c r="Q832" s="101"/>
      <c r="R832" s="101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2"/>
      <c r="AC832" s="113"/>
      <c r="AD832" s="113"/>
      <c r="AE832" s="113"/>
    </row>
    <row r="833">
      <c r="A833" s="102"/>
      <c r="B833" s="140"/>
      <c r="C833" s="102"/>
      <c r="D833" s="102"/>
      <c r="E833" s="102"/>
      <c r="F833" s="141"/>
      <c r="G833" s="102"/>
      <c r="H833" s="102"/>
      <c r="I833" s="102"/>
      <c r="J833" s="102"/>
      <c r="K833" s="102"/>
      <c r="L833" s="140"/>
      <c r="M833" s="102"/>
      <c r="N833" s="102"/>
      <c r="O833" s="102"/>
      <c r="P833" s="101"/>
      <c r="Q833" s="101"/>
      <c r="R833" s="101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2"/>
      <c r="AC833" s="113"/>
      <c r="AD833" s="113"/>
      <c r="AE833" s="113"/>
    </row>
    <row r="834">
      <c r="A834" s="102"/>
      <c r="B834" s="140"/>
      <c r="C834" s="102"/>
      <c r="D834" s="102"/>
      <c r="E834" s="102"/>
      <c r="F834" s="141"/>
      <c r="G834" s="102"/>
      <c r="H834" s="102"/>
      <c r="I834" s="102"/>
      <c r="J834" s="102"/>
      <c r="K834" s="102"/>
      <c r="L834" s="140"/>
      <c r="M834" s="102"/>
      <c r="N834" s="102"/>
      <c r="O834" s="102"/>
      <c r="P834" s="101"/>
      <c r="Q834" s="101"/>
      <c r="R834" s="101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2"/>
      <c r="AC834" s="113"/>
      <c r="AD834" s="113"/>
      <c r="AE834" s="113"/>
    </row>
    <row r="835">
      <c r="A835" s="102"/>
      <c r="B835" s="140"/>
      <c r="C835" s="102"/>
      <c r="D835" s="102"/>
      <c r="E835" s="102"/>
      <c r="F835" s="141"/>
      <c r="G835" s="102"/>
      <c r="H835" s="102"/>
      <c r="I835" s="102"/>
      <c r="J835" s="102"/>
      <c r="K835" s="102"/>
      <c r="L835" s="140"/>
      <c r="M835" s="102"/>
      <c r="N835" s="102"/>
      <c r="O835" s="102"/>
      <c r="P835" s="101"/>
      <c r="Q835" s="101"/>
      <c r="R835" s="101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2"/>
      <c r="AC835" s="113"/>
      <c r="AD835" s="113"/>
      <c r="AE835" s="113"/>
    </row>
    <row r="836">
      <c r="A836" s="102"/>
      <c r="B836" s="140"/>
      <c r="C836" s="102"/>
      <c r="D836" s="102"/>
      <c r="E836" s="102"/>
      <c r="F836" s="141"/>
      <c r="G836" s="102"/>
      <c r="H836" s="102"/>
      <c r="I836" s="102"/>
      <c r="J836" s="102"/>
      <c r="K836" s="102"/>
      <c r="L836" s="140"/>
      <c r="M836" s="102"/>
      <c r="N836" s="102"/>
      <c r="O836" s="102"/>
      <c r="P836" s="101"/>
      <c r="Q836" s="101"/>
      <c r="R836" s="101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2"/>
      <c r="AC836" s="113"/>
      <c r="AD836" s="113"/>
      <c r="AE836" s="113"/>
    </row>
    <row r="837">
      <c r="A837" s="102"/>
      <c r="B837" s="140"/>
      <c r="C837" s="102"/>
      <c r="D837" s="102"/>
      <c r="E837" s="102"/>
      <c r="F837" s="141"/>
      <c r="G837" s="102"/>
      <c r="H837" s="102"/>
      <c r="I837" s="102"/>
      <c r="J837" s="102"/>
      <c r="K837" s="102"/>
      <c r="L837" s="140"/>
      <c r="M837" s="102"/>
      <c r="N837" s="102"/>
      <c r="O837" s="102"/>
      <c r="P837" s="101"/>
      <c r="Q837" s="101"/>
      <c r="R837" s="101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2"/>
      <c r="AC837" s="113"/>
      <c r="AD837" s="113"/>
      <c r="AE837" s="113"/>
    </row>
    <row r="838">
      <c r="A838" s="102"/>
      <c r="B838" s="140"/>
      <c r="C838" s="102"/>
      <c r="D838" s="102"/>
      <c r="E838" s="102"/>
      <c r="F838" s="141"/>
      <c r="G838" s="102"/>
      <c r="H838" s="102"/>
      <c r="I838" s="102"/>
      <c r="J838" s="102"/>
      <c r="K838" s="102"/>
      <c r="L838" s="140"/>
      <c r="M838" s="102"/>
      <c r="N838" s="102"/>
      <c r="O838" s="102"/>
      <c r="P838" s="101"/>
      <c r="Q838" s="101"/>
      <c r="R838" s="101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  <c r="AC838" s="113"/>
      <c r="AD838" s="113"/>
      <c r="AE838" s="113"/>
    </row>
    <row r="839">
      <c r="A839" s="102"/>
      <c r="B839" s="140"/>
      <c r="C839" s="102"/>
      <c r="D839" s="102"/>
      <c r="E839" s="102"/>
      <c r="F839" s="141"/>
      <c r="G839" s="102"/>
      <c r="H839" s="102"/>
      <c r="I839" s="102"/>
      <c r="J839" s="102"/>
      <c r="K839" s="102"/>
      <c r="L839" s="140"/>
      <c r="M839" s="102"/>
      <c r="N839" s="102"/>
      <c r="O839" s="102"/>
      <c r="P839" s="101"/>
      <c r="Q839" s="101"/>
      <c r="R839" s="101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2"/>
      <c r="AC839" s="113"/>
      <c r="AD839" s="113"/>
      <c r="AE839" s="113"/>
    </row>
    <row r="840">
      <c r="A840" s="102"/>
      <c r="B840" s="140"/>
      <c r="C840" s="102"/>
      <c r="D840" s="102"/>
      <c r="E840" s="102"/>
      <c r="F840" s="141"/>
      <c r="G840" s="102"/>
      <c r="H840" s="102"/>
      <c r="I840" s="102"/>
      <c r="J840" s="102"/>
      <c r="K840" s="102"/>
      <c r="L840" s="140"/>
      <c r="M840" s="102"/>
      <c r="N840" s="102"/>
      <c r="O840" s="102"/>
      <c r="P840" s="101"/>
      <c r="Q840" s="101"/>
      <c r="R840" s="101"/>
      <c r="S840" s="102"/>
      <c r="T840" s="102"/>
      <c r="U840" s="102"/>
      <c r="V840" s="102"/>
      <c r="W840" s="102"/>
      <c r="X840" s="102"/>
      <c r="Y840" s="102"/>
      <c r="Z840" s="102"/>
      <c r="AA840" s="102"/>
      <c r="AB840" s="102"/>
      <c r="AC840" s="113"/>
      <c r="AD840" s="113"/>
      <c r="AE840" s="113"/>
    </row>
    <row r="841">
      <c r="A841" s="102"/>
      <c r="B841" s="140"/>
      <c r="C841" s="102"/>
      <c r="D841" s="102"/>
      <c r="E841" s="102"/>
      <c r="F841" s="141"/>
      <c r="G841" s="102"/>
      <c r="H841" s="102"/>
      <c r="I841" s="102"/>
      <c r="J841" s="102"/>
      <c r="K841" s="102"/>
      <c r="L841" s="140"/>
      <c r="M841" s="102"/>
      <c r="N841" s="102"/>
      <c r="O841" s="102"/>
      <c r="P841" s="101"/>
      <c r="Q841" s="101"/>
      <c r="R841" s="101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2"/>
      <c r="AC841" s="113"/>
      <c r="AD841" s="113"/>
      <c r="AE841" s="113"/>
    </row>
    <row r="842">
      <c r="A842" s="102"/>
      <c r="B842" s="140"/>
      <c r="C842" s="102"/>
      <c r="D842" s="102"/>
      <c r="E842" s="102"/>
      <c r="F842" s="141"/>
      <c r="G842" s="102"/>
      <c r="H842" s="102"/>
      <c r="I842" s="102"/>
      <c r="J842" s="102"/>
      <c r="K842" s="102"/>
      <c r="L842" s="140"/>
      <c r="M842" s="102"/>
      <c r="N842" s="102"/>
      <c r="O842" s="102"/>
      <c r="P842" s="101"/>
      <c r="Q842" s="101"/>
      <c r="R842" s="101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2"/>
      <c r="AC842" s="113"/>
      <c r="AD842" s="113"/>
      <c r="AE842" s="113"/>
    </row>
    <row r="843">
      <c r="A843" s="102"/>
      <c r="B843" s="140"/>
      <c r="C843" s="102"/>
      <c r="D843" s="102"/>
      <c r="E843" s="102"/>
      <c r="F843" s="141"/>
      <c r="G843" s="102"/>
      <c r="H843" s="102"/>
      <c r="I843" s="102"/>
      <c r="J843" s="102"/>
      <c r="K843" s="102"/>
      <c r="L843" s="140"/>
      <c r="M843" s="102"/>
      <c r="N843" s="102"/>
      <c r="O843" s="102"/>
      <c r="P843" s="101"/>
      <c r="Q843" s="101"/>
      <c r="R843" s="101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2"/>
      <c r="AC843" s="113"/>
      <c r="AD843" s="113"/>
      <c r="AE843" s="113"/>
    </row>
    <row r="844">
      <c r="A844" s="102"/>
      <c r="B844" s="140"/>
      <c r="C844" s="102"/>
      <c r="D844" s="102"/>
      <c r="E844" s="102"/>
      <c r="F844" s="141"/>
      <c r="G844" s="102"/>
      <c r="H844" s="102"/>
      <c r="I844" s="102"/>
      <c r="J844" s="102"/>
      <c r="K844" s="102"/>
      <c r="L844" s="140"/>
      <c r="M844" s="102"/>
      <c r="N844" s="102"/>
      <c r="O844" s="102"/>
      <c r="P844" s="101"/>
      <c r="Q844" s="101"/>
      <c r="R844" s="101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  <c r="AC844" s="113"/>
      <c r="AD844" s="113"/>
      <c r="AE844" s="113"/>
    </row>
    <row r="845">
      <c r="A845" s="102"/>
      <c r="B845" s="140"/>
      <c r="C845" s="102"/>
      <c r="D845" s="102"/>
      <c r="E845" s="102"/>
      <c r="F845" s="141"/>
      <c r="G845" s="102"/>
      <c r="H845" s="102"/>
      <c r="I845" s="102"/>
      <c r="J845" s="102"/>
      <c r="K845" s="102"/>
      <c r="L845" s="140"/>
      <c r="M845" s="102"/>
      <c r="N845" s="102"/>
      <c r="O845" s="102"/>
      <c r="P845" s="101"/>
      <c r="Q845" s="101"/>
      <c r="R845" s="101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2"/>
      <c r="AC845" s="113"/>
      <c r="AD845" s="113"/>
      <c r="AE845" s="113"/>
    </row>
    <row r="846">
      <c r="A846" s="102"/>
      <c r="B846" s="140"/>
      <c r="C846" s="102"/>
      <c r="D846" s="102"/>
      <c r="E846" s="102"/>
      <c r="F846" s="141"/>
      <c r="G846" s="102"/>
      <c r="H846" s="102"/>
      <c r="I846" s="102"/>
      <c r="J846" s="102"/>
      <c r="K846" s="102"/>
      <c r="L846" s="140"/>
      <c r="M846" s="102"/>
      <c r="N846" s="102"/>
      <c r="O846" s="102"/>
      <c r="P846" s="101"/>
      <c r="Q846" s="101"/>
      <c r="R846" s="101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2"/>
      <c r="AC846" s="113"/>
      <c r="AD846" s="113"/>
      <c r="AE846" s="113"/>
    </row>
    <row r="847">
      <c r="A847" s="102"/>
      <c r="B847" s="140"/>
      <c r="C847" s="102"/>
      <c r="D847" s="102"/>
      <c r="E847" s="102"/>
      <c r="F847" s="141"/>
      <c r="G847" s="102"/>
      <c r="H847" s="102"/>
      <c r="I847" s="102"/>
      <c r="J847" s="102"/>
      <c r="K847" s="102"/>
      <c r="L847" s="140"/>
      <c r="M847" s="102"/>
      <c r="N847" s="102"/>
      <c r="O847" s="102"/>
      <c r="P847" s="101"/>
      <c r="Q847" s="101"/>
      <c r="R847" s="101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  <c r="AC847" s="113"/>
      <c r="AD847" s="113"/>
      <c r="AE847" s="113"/>
    </row>
    <row r="848">
      <c r="A848" s="102"/>
      <c r="B848" s="140"/>
      <c r="C848" s="102"/>
      <c r="D848" s="102"/>
      <c r="E848" s="102"/>
      <c r="F848" s="141"/>
      <c r="G848" s="102"/>
      <c r="H848" s="102"/>
      <c r="I848" s="102"/>
      <c r="J848" s="102"/>
      <c r="K848" s="102"/>
      <c r="L848" s="140"/>
      <c r="M848" s="102"/>
      <c r="N848" s="102"/>
      <c r="O848" s="102"/>
      <c r="P848" s="101"/>
      <c r="Q848" s="101"/>
      <c r="R848" s="101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  <c r="AC848" s="113"/>
      <c r="AD848" s="113"/>
      <c r="AE848" s="113"/>
    </row>
    <row r="849">
      <c r="A849" s="102"/>
      <c r="B849" s="140"/>
      <c r="C849" s="102"/>
      <c r="D849" s="102"/>
      <c r="E849" s="102"/>
      <c r="F849" s="141"/>
      <c r="G849" s="102"/>
      <c r="H849" s="102"/>
      <c r="I849" s="102"/>
      <c r="J849" s="102"/>
      <c r="K849" s="102"/>
      <c r="L849" s="140"/>
      <c r="M849" s="102"/>
      <c r="N849" s="102"/>
      <c r="O849" s="102"/>
      <c r="P849" s="101"/>
      <c r="Q849" s="101"/>
      <c r="R849" s="101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2"/>
      <c r="AC849" s="113"/>
      <c r="AD849" s="113"/>
      <c r="AE849" s="113"/>
    </row>
    <row r="850">
      <c r="A850" s="102"/>
      <c r="B850" s="140"/>
      <c r="C850" s="102"/>
      <c r="D850" s="102"/>
      <c r="E850" s="102"/>
      <c r="F850" s="141"/>
      <c r="G850" s="102"/>
      <c r="H850" s="102"/>
      <c r="I850" s="102"/>
      <c r="J850" s="102"/>
      <c r="K850" s="102"/>
      <c r="L850" s="140"/>
      <c r="M850" s="102"/>
      <c r="N850" s="102"/>
      <c r="O850" s="102"/>
      <c r="P850" s="101"/>
      <c r="Q850" s="101"/>
      <c r="R850" s="101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2"/>
      <c r="AC850" s="113"/>
      <c r="AD850" s="113"/>
      <c r="AE850" s="113"/>
    </row>
    <row r="851">
      <c r="A851" s="102"/>
      <c r="B851" s="140"/>
      <c r="C851" s="102"/>
      <c r="D851" s="102"/>
      <c r="E851" s="102"/>
      <c r="F851" s="141"/>
      <c r="G851" s="102"/>
      <c r="H851" s="102"/>
      <c r="I851" s="102"/>
      <c r="J851" s="102"/>
      <c r="K851" s="102"/>
      <c r="L851" s="140"/>
      <c r="M851" s="102"/>
      <c r="N851" s="102"/>
      <c r="O851" s="102"/>
      <c r="P851" s="101"/>
      <c r="Q851" s="101"/>
      <c r="R851" s="101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2"/>
      <c r="AC851" s="113"/>
      <c r="AD851" s="113"/>
      <c r="AE851" s="113"/>
    </row>
    <row r="852">
      <c r="A852" s="102"/>
      <c r="B852" s="140"/>
      <c r="C852" s="102"/>
      <c r="D852" s="102"/>
      <c r="E852" s="102"/>
      <c r="F852" s="141"/>
      <c r="G852" s="102"/>
      <c r="H852" s="102"/>
      <c r="I852" s="102"/>
      <c r="J852" s="102"/>
      <c r="K852" s="102"/>
      <c r="L852" s="140"/>
      <c r="M852" s="102"/>
      <c r="N852" s="102"/>
      <c r="O852" s="102"/>
      <c r="P852" s="101"/>
      <c r="Q852" s="101"/>
      <c r="R852" s="101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  <c r="AC852" s="113"/>
      <c r="AD852" s="113"/>
      <c r="AE852" s="113"/>
    </row>
    <row r="853">
      <c r="A853" s="102"/>
      <c r="B853" s="140"/>
      <c r="C853" s="102"/>
      <c r="D853" s="102"/>
      <c r="E853" s="102"/>
      <c r="F853" s="141"/>
      <c r="G853" s="102"/>
      <c r="H853" s="102"/>
      <c r="I853" s="102"/>
      <c r="J853" s="102"/>
      <c r="K853" s="102"/>
      <c r="L853" s="140"/>
      <c r="M853" s="102"/>
      <c r="N853" s="102"/>
      <c r="O853" s="102"/>
      <c r="P853" s="101"/>
      <c r="Q853" s="101"/>
      <c r="R853" s="101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2"/>
      <c r="AC853" s="113"/>
      <c r="AD853" s="113"/>
      <c r="AE853" s="113"/>
    </row>
    <row r="854">
      <c r="A854" s="102"/>
      <c r="B854" s="140"/>
      <c r="C854" s="102"/>
      <c r="D854" s="102"/>
      <c r="E854" s="102"/>
      <c r="F854" s="141"/>
      <c r="G854" s="102"/>
      <c r="H854" s="102"/>
      <c r="I854" s="102"/>
      <c r="J854" s="102"/>
      <c r="K854" s="102"/>
      <c r="L854" s="140"/>
      <c r="M854" s="102"/>
      <c r="N854" s="102"/>
      <c r="O854" s="102"/>
      <c r="P854" s="101"/>
      <c r="Q854" s="101"/>
      <c r="R854" s="101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2"/>
      <c r="AC854" s="113"/>
      <c r="AD854" s="113"/>
      <c r="AE854" s="113"/>
    </row>
    <row r="855">
      <c r="A855" s="102"/>
      <c r="B855" s="140"/>
      <c r="C855" s="102"/>
      <c r="D855" s="102"/>
      <c r="E855" s="102"/>
      <c r="F855" s="141"/>
      <c r="G855" s="102"/>
      <c r="H855" s="102"/>
      <c r="I855" s="102"/>
      <c r="J855" s="102"/>
      <c r="K855" s="102"/>
      <c r="L855" s="140"/>
      <c r="M855" s="102"/>
      <c r="N855" s="102"/>
      <c r="O855" s="102"/>
      <c r="P855" s="101"/>
      <c r="Q855" s="101"/>
      <c r="R855" s="101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2"/>
      <c r="AC855" s="113"/>
      <c r="AD855" s="113"/>
      <c r="AE855" s="113"/>
    </row>
    <row r="856">
      <c r="A856" s="102"/>
      <c r="B856" s="140"/>
      <c r="C856" s="102"/>
      <c r="D856" s="102"/>
      <c r="E856" s="102"/>
      <c r="F856" s="141"/>
      <c r="G856" s="102"/>
      <c r="H856" s="102"/>
      <c r="I856" s="102"/>
      <c r="J856" s="102"/>
      <c r="K856" s="102"/>
      <c r="L856" s="140"/>
      <c r="M856" s="102"/>
      <c r="N856" s="102"/>
      <c r="O856" s="102"/>
      <c r="P856" s="101"/>
      <c r="Q856" s="101"/>
      <c r="R856" s="101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13"/>
      <c r="AD856" s="113"/>
      <c r="AE856" s="113"/>
    </row>
    <row r="857">
      <c r="A857" s="102"/>
      <c r="B857" s="140"/>
      <c r="C857" s="102"/>
      <c r="D857" s="102"/>
      <c r="E857" s="102"/>
      <c r="F857" s="141"/>
      <c r="G857" s="102"/>
      <c r="H857" s="102"/>
      <c r="I857" s="102"/>
      <c r="J857" s="102"/>
      <c r="K857" s="102"/>
      <c r="L857" s="140"/>
      <c r="M857" s="102"/>
      <c r="N857" s="102"/>
      <c r="O857" s="102"/>
      <c r="P857" s="101"/>
      <c r="Q857" s="101"/>
      <c r="R857" s="101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2"/>
      <c r="AC857" s="113"/>
      <c r="AD857" s="113"/>
      <c r="AE857" s="113"/>
    </row>
    <row r="858">
      <c r="A858" s="102"/>
      <c r="B858" s="140"/>
      <c r="C858" s="102"/>
      <c r="D858" s="102"/>
      <c r="E858" s="102"/>
      <c r="F858" s="141"/>
      <c r="G858" s="102"/>
      <c r="H858" s="102"/>
      <c r="I858" s="102"/>
      <c r="J858" s="102"/>
      <c r="K858" s="102"/>
      <c r="L858" s="140"/>
      <c r="M858" s="102"/>
      <c r="N858" s="102"/>
      <c r="O858" s="102"/>
      <c r="P858" s="101"/>
      <c r="Q858" s="101"/>
      <c r="R858" s="101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  <c r="AC858" s="113"/>
      <c r="AD858" s="113"/>
      <c r="AE858" s="113"/>
    </row>
    <row r="859">
      <c r="A859" s="102"/>
      <c r="B859" s="140"/>
      <c r="C859" s="102"/>
      <c r="D859" s="102"/>
      <c r="E859" s="102"/>
      <c r="F859" s="141"/>
      <c r="G859" s="102"/>
      <c r="H859" s="102"/>
      <c r="I859" s="102"/>
      <c r="J859" s="102"/>
      <c r="K859" s="102"/>
      <c r="L859" s="140"/>
      <c r="M859" s="102"/>
      <c r="N859" s="102"/>
      <c r="O859" s="102"/>
      <c r="P859" s="101"/>
      <c r="Q859" s="101"/>
      <c r="R859" s="101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2"/>
      <c r="AC859" s="113"/>
      <c r="AD859" s="113"/>
      <c r="AE859" s="113"/>
    </row>
    <row r="860">
      <c r="A860" s="102"/>
      <c r="B860" s="140"/>
      <c r="C860" s="102"/>
      <c r="D860" s="102"/>
      <c r="E860" s="102"/>
      <c r="F860" s="141"/>
      <c r="G860" s="102"/>
      <c r="H860" s="102"/>
      <c r="I860" s="102"/>
      <c r="J860" s="102"/>
      <c r="K860" s="102"/>
      <c r="L860" s="140"/>
      <c r="M860" s="102"/>
      <c r="N860" s="102"/>
      <c r="O860" s="102"/>
      <c r="P860" s="101"/>
      <c r="Q860" s="101"/>
      <c r="R860" s="101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2"/>
      <c r="AC860" s="113"/>
      <c r="AD860" s="113"/>
      <c r="AE860" s="113"/>
    </row>
    <row r="861">
      <c r="A861" s="102"/>
      <c r="B861" s="140"/>
      <c r="C861" s="102"/>
      <c r="D861" s="102"/>
      <c r="E861" s="102"/>
      <c r="F861" s="141"/>
      <c r="G861" s="102"/>
      <c r="H861" s="102"/>
      <c r="I861" s="102"/>
      <c r="J861" s="102"/>
      <c r="K861" s="102"/>
      <c r="L861" s="140"/>
      <c r="M861" s="102"/>
      <c r="N861" s="102"/>
      <c r="O861" s="102"/>
      <c r="P861" s="101"/>
      <c r="Q861" s="101"/>
      <c r="R861" s="101"/>
      <c r="S861" s="102"/>
      <c r="T861" s="102"/>
      <c r="U861" s="102"/>
      <c r="V861" s="102"/>
      <c r="W861" s="102"/>
      <c r="X861" s="102"/>
      <c r="Y861" s="102"/>
      <c r="Z861" s="102"/>
      <c r="AA861" s="102"/>
      <c r="AB861" s="102"/>
      <c r="AC861" s="113"/>
      <c r="AD861" s="113"/>
      <c r="AE861" s="113"/>
    </row>
    <row r="862">
      <c r="A862" s="102"/>
      <c r="B862" s="140"/>
      <c r="C862" s="102"/>
      <c r="D862" s="102"/>
      <c r="E862" s="102"/>
      <c r="F862" s="141"/>
      <c r="G862" s="102"/>
      <c r="H862" s="102"/>
      <c r="I862" s="102"/>
      <c r="J862" s="102"/>
      <c r="K862" s="102"/>
      <c r="L862" s="140"/>
      <c r="M862" s="102"/>
      <c r="N862" s="102"/>
      <c r="O862" s="102"/>
      <c r="P862" s="101"/>
      <c r="Q862" s="101"/>
      <c r="R862" s="101"/>
      <c r="S862" s="102"/>
      <c r="T862" s="102"/>
      <c r="U862" s="102"/>
      <c r="V862" s="102"/>
      <c r="W862" s="102"/>
      <c r="X862" s="102"/>
      <c r="Y862" s="102"/>
      <c r="Z862" s="102"/>
      <c r="AA862" s="102"/>
      <c r="AB862" s="102"/>
      <c r="AC862" s="113"/>
      <c r="AD862" s="113"/>
      <c r="AE862" s="113"/>
    </row>
    <row r="863">
      <c r="A863" s="102"/>
      <c r="B863" s="140"/>
      <c r="C863" s="102"/>
      <c r="D863" s="102"/>
      <c r="E863" s="102"/>
      <c r="F863" s="141"/>
      <c r="G863" s="102"/>
      <c r="H863" s="102"/>
      <c r="I863" s="102"/>
      <c r="J863" s="102"/>
      <c r="K863" s="102"/>
      <c r="L863" s="140"/>
      <c r="M863" s="102"/>
      <c r="N863" s="102"/>
      <c r="O863" s="102"/>
      <c r="P863" s="101"/>
      <c r="Q863" s="101"/>
      <c r="R863" s="101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  <c r="AC863" s="113"/>
      <c r="AD863" s="113"/>
      <c r="AE863" s="113"/>
    </row>
    <row r="864">
      <c r="A864" s="102"/>
      <c r="B864" s="140"/>
      <c r="C864" s="102"/>
      <c r="D864" s="102"/>
      <c r="E864" s="102"/>
      <c r="F864" s="141"/>
      <c r="G864" s="102"/>
      <c r="H864" s="102"/>
      <c r="I864" s="102"/>
      <c r="J864" s="102"/>
      <c r="K864" s="102"/>
      <c r="L864" s="140"/>
      <c r="M864" s="102"/>
      <c r="N864" s="102"/>
      <c r="O864" s="102"/>
      <c r="P864" s="101"/>
      <c r="Q864" s="101"/>
      <c r="R864" s="101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  <c r="AC864" s="113"/>
      <c r="AD864" s="113"/>
      <c r="AE864" s="113"/>
    </row>
    <row r="865">
      <c r="A865" s="102"/>
      <c r="B865" s="140"/>
      <c r="C865" s="102"/>
      <c r="D865" s="102"/>
      <c r="E865" s="102"/>
      <c r="F865" s="141"/>
      <c r="G865" s="102"/>
      <c r="H865" s="102"/>
      <c r="I865" s="102"/>
      <c r="J865" s="102"/>
      <c r="K865" s="102"/>
      <c r="L865" s="140"/>
      <c r="M865" s="102"/>
      <c r="N865" s="102"/>
      <c r="O865" s="102"/>
      <c r="P865" s="101"/>
      <c r="Q865" s="101"/>
      <c r="R865" s="101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2"/>
      <c r="AC865" s="113"/>
      <c r="AD865" s="113"/>
      <c r="AE865" s="113"/>
    </row>
    <row r="866">
      <c r="A866" s="102"/>
      <c r="B866" s="140"/>
      <c r="C866" s="102"/>
      <c r="D866" s="102"/>
      <c r="E866" s="102"/>
      <c r="F866" s="141"/>
      <c r="G866" s="102"/>
      <c r="H866" s="102"/>
      <c r="I866" s="102"/>
      <c r="J866" s="102"/>
      <c r="K866" s="102"/>
      <c r="L866" s="140"/>
      <c r="M866" s="102"/>
      <c r="N866" s="102"/>
      <c r="O866" s="102"/>
      <c r="P866" s="101"/>
      <c r="Q866" s="101"/>
      <c r="R866" s="101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2"/>
      <c r="AC866" s="113"/>
      <c r="AD866" s="113"/>
      <c r="AE866" s="113"/>
    </row>
    <row r="867">
      <c r="A867" s="102"/>
      <c r="B867" s="140"/>
      <c r="C867" s="102"/>
      <c r="D867" s="102"/>
      <c r="E867" s="102"/>
      <c r="F867" s="141"/>
      <c r="G867" s="102"/>
      <c r="H867" s="102"/>
      <c r="I867" s="102"/>
      <c r="J867" s="102"/>
      <c r="K867" s="102"/>
      <c r="L867" s="140"/>
      <c r="M867" s="102"/>
      <c r="N867" s="102"/>
      <c r="O867" s="102"/>
      <c r="P867" s="101"/>
      <c r="Q867" s="101"/>
      <c r="R867" s="101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2"/>
      <c r="AC867" s="113"/>
      <c r="AD867" s="113"/>
      <c r="AE867" s="113"/>
    </row>
    <row r="868">
      <c r="A868" s="102"/>
      <c r="B868" s="140"/>
      <c r="C868" s="102"/>
      <c r="D868" s="102"/>
      <c r="E868" s="102"/>
      <c r="F868" s="141"/>
      <c r="G868" s="102"/>
      <c r="H868" s="102"/>
      <c r="I868" s="102"/>
      <c r="J868" s="102"/>
      <c r="K868" s="102"/>
      <c r="L868" s="140"/>
      <c r="M868" s="102"/>
      <c r="N868" s="102"/>
      <c r="O868" s="102"/>
      <c r="P868" s="101"/>
      <c r="Q868" s="101"/>
      <c r="R868" s="101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2"/>
      <c r="AC868" s="113"/>
      <c r="AD868" s="113"/>
      <c r="AE868" s="113"/>
    </row>
    <row r="869">
      <c r="A869" s="102"/>
      <c r="B869" s="140"/>
      <c r="C869" s="102"/>
      <c r="D869" s="102"/>
      <c r="E869" s="102"/>
      <c r="F869" s="141"/>
      <c r="G869" s="102"/>
      <c r="H869" s="102"/>
      <c r="I869" s="102"/>
      <c r="J869" s="102"/>
      <c r="K869" s="102"/>
      <c r="L869" s="140"/>
      <c r="M869" s="102"/>
      <c r="N869" s="102"/>
      <c r="O869" s="102"/>
      <c r="P869" s="101"/>
      <c r="Q869" s="101"/>
      <c r="R869" s="101"/>
      <c r="S869" s="102"/>
      <c r="T869" s="102"/>
      <c r="U869" s="102"/>
      <c r="V869" s="102"/>
      <c r="W869" s="102"/>
      <c r="X869" s="102"/>
      <c r="Y869" s="102"/>
      <c r="Z869" s="102"/>
      <c r="AA869" s="102"/>
      <c r="AB869" s="102"/>
      <c r="AC869" s="113"/>
      <c r="AD869" s="113"/>
      <c r="AE869" s="113"/>
    </row>
    <row r="870">
      <c r="A870" s="102"/>
      <c r="B870" s="140"/>
      <c r="C870" s="102"/>
      <c r="D870" s="102"/>
      <c r="E870" s="102"/>
      <c r="F870" s="141"/>
      <c r="G870" s="102"/>
      <c r="H870" s="102"/>
      <c r="I870" s="102"/>
      <c r="J870" s="102"/>
      <c r="K870" s="102"/>
      <c r="L870" s="140"/>
      <c r="M870" s="102"/>
      <c r="N870" s="102"/>
      <c r="O870" s="102"/>
      <c r="P870" s="101"/>
      <c r="Q870" s="101"/>
      <c r="R870" s="101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  <c r="AC870" s="113"/>
      <c r="AD870" s="113"/>
      <c r="AE870" s="113"/>
    </row>
    <row r="871">
      <c r="A871" s="102"/>
      <c r="B871" s="140"/>
      <c r="C871" s="102"/>
      <c r="D871" s="102"/>
      <c r="E871" s="102"/>
      <c r="F871" s="141"/>
      <c r="G871" s="102"/>
      <c r="H871" s="102"/>
      <c r="I871" s="102"/>
      <c r="J871" s="102"/>
      <c r="K871" s="102"/>
      <c r="L871" s="140"/>
      <c r="M871" s="102"/>
      <c r="N871" s="102"/>
      <c r="O871" s="102"/>
      <c r="P871" s="101"/>
      <c r="Q871" s="101"/>
      <c r="R871" s="101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  <c r="AC871" s="113"/>
      <c r="AD871" s="113"/>
      <c r="AE871" s="113"/>
    </row>
    <row r="872">
      <c r="A872" s="102"/>
      <c r="B872" s="140"/>
      <c r="C872" s="102"/>
      <c r="D872" s="102"/>
      <c r="E872" s="102"/>
      <c r="F872" s="141"/>
      <c r="G872" s="102"/>
      <c r="H872" s="102"/>
      <c r="I872" s="102"/>
      <c r="J872" s="102"/>
      <c r="K872" s="102"/>
      <c r="L872" s="140"/>
      <c r="M872" s="102"/>
      <c r="N872" s="102"/>
      <c r="O872" s="102"/>
      <c r="P872" s="101"/>
      <c r="Q872" s="101"/>
      <c r="R872" s="101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2"/>
      <c r="AC872" s="113"/>
      <c r="AD872" s="113"/>
      <c r="AE872" s="113"/>
    </row>
    <row r="873">
      <c r="A873" s="102"/>
      <c r="B873" s="140"/>
      <c r="C873" s="102"/>
      <c r="D873" s="102"/>
      <c r="E873" s="102"/>
      <c r="F873" s="141"/>
      <c r="G873" s="102"/>
      <c r="H873" s="102"/>
      <c r="I873" s="102"/>
      <c r="J873" s="102"/>
      <c r="K873" s="102"/>
      <c r="L873" s="140"/>
      <c r="M873" s="102"/>
      <c r="N873" s="102"/>
      <c r="O873" s="102"/>
      <c r="P873" s="101"/>
      <c r="Q873" s="101"/>
      <c r="R873" s="101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13"/>
      <c r="AD873" s="113"/>
      <c r="AE873" s="113"/>
    </row>
    <row r="874">
      <c r="A874" s="102"/>
      <c r="B874" s="140"/>
      <c r="C874" s="102"/>
      <c r="D874" s="102"/>
      <c r="E874" s="102"/>
      <c r="F874" s="141"/>
      <c r="G874" s="102"/>
      <c r="H874" s="102"/>
      <c r="I874" s="102"/>
      <c r="J874" s="102"/>
      <c r="K874" s="102"/>
      <c r="L874" s="140"/>
      <c r="M874" s="102"/>
      <c r="N874" s="102"/>
      <c r="O874" s="102"/>
      <c r="P874" s="101"/>
      <c r="Q874" s="101"/>
      <c r="R874" s="101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2"/>
      <c r="AC874" s="113"/>
      <c r="AD874" s="113"/>
      <c r="AE874" s="113"/>
    </row>
    <row r="875">
      <c r="A875" s="102"/>
      <c r="B875" s="140"/>
      <c r="C875" s="102"/>
      <c r="D875" s="102"/>
      <c r="E875" s="102"/>
      <c r="F875" s="141"/>
      <c r="G875" s="102"/>
      <c r="H875" s="102"/>
      <c r="I875" s="102"/>
      <c r="J875" s="102"/>
      <c r="K875" s="102"/>
      <c r="L875" s="140"/>
      <c r="M875" s="102"/>
      <c r="N875" s="102"/>
      <c r="O875" s="102"/>
      <c r="P875" s="101"/>
      <c r="Q875" s="101"/>
      <c r="R875" s="101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2"/>
      <c r="AC875" s="113"/>
      <c r="AD875" s="113"/>
      <c r="AE875" s="113"/>
    </row>
    <row r="876">
      <c r="A876" s="102"/>
      <c r="B876" s="140"/>
      <c r="C876" s="102"/>
      <c r="D876" s="102"/>
      <c r="E876" s="102"/>
      <c r="F876" s="141"/>
      <c r="G876" s="102"/>
      <c r="H876" s="102"/>
      <c r="I876" s="102"/>
      <c r="J876" s="102"/>
      <c r="K876" s="102"/>
      <c r="L876" s="140"/>
      <c r="M876" s="102"/>
      <c r="N876" s="102"/>
      <c r="O876" s="102"/>
      <c r="P876" s="101"/>
      <c r="Q876" s="101"/>
      <c r="R876" s="101"/>
      <c r="S876" s="102"/>
      <c r="T876" s="102"/>
      <c r="U876" s="102"/>
      <c r="V876" s="102"/>
      <c r="W876" s="102"/>
      <c r="X876" s="102"/>
      <c r="Y876" s="102"/>
      <c r="Z876" s="102"/>
      <c r="AA876" s="102"/>
      <c r="AB876" s="102"/>
      <c r="AC876" s="113"/>
      <c r="AD876" s="113"/>
      <c r="AE876" s="113"/>
    </row>
    <row r="877">
      <c r="A877" s="102"/>
      <c r="B877" s="140"/>
      <c r="C877" s="102"/>
      <c r="D877" s="102"/>
      <c r="E877" s="102"/>
      <c r="F877" s="141"/>
      <c r="G877" s="102"/>
      <c r="H877" s="102"/>
      <c r="I877" s="102"/>
      <c r="J877" s="102"/>
      <c r="K877" s="102"/>
      <c r="L877" s="140"/>
      <c r="M877" s="102"/>
      <c r="N877" s="102"/>
      <c r="O877" s="102"/>
      <c r="P877" s="101"/>
      <c r="Q877" s="101"/>
      <c r="R877" s="101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2"/>
      <c r="AC877" s="113"/>
      <c r="AD877" s="113"/>
      <c r="AE877" s="113"/>
    </row>
    <row r="878">
      <c r="A878" s="102"/>
      <c r="B878" s="140"/>
      <c r="C878" s="102"/>
      <c r="D878" s="102"/>
      <c r="E878" s="102"/>
      <c r="F878" s="141"/>
      <c r="G878" s="102"/>
      <c r="H878" s="102"/>
      <c r="I878" s="102"/>
      <c r="J878" s="102"/>
      <c r="K878" s="102"/>
      <c r="L878" s="140"/>
      <c r="M878" s="102"/>
      <c r="N878" s="102"/>
      <c r="O878" s="102"/>
      <c r="P878" s="101"/>
      <c r="Q878" s="101"/>
      <c r="R878" s="101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2"/>
      <c r="AC878" s="113"/>
      <c r="AD878" s="113"/>
      <c r="AE878" s="113"/>
    </row>
    <row r="879">
      <c r="A879" s="102"/>
      <c r="B879" s="140"/>
      <c r="C879" s="102"/>
      <c r="D879" s="102"/>
      <c r="E879" s="102"/>
      <c r="F879" s="141"/>
      <c r="G879" s="102"/>
      <c r="H879" s="102"/>
      <c r="I879" s="102"/>
      <c r="J879" s="102"/>
      <c r="K879" s="102"/>
      <c r="L879" s="140"/>
      <c r="M879" s="102"/>
      <c r="N879" s="102"/>
      <c r="O879" s="102"/>
      <c r="P879" s="101"/>
      <c r="Q879" s="101"/>
      <c r="R879" s="101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2"/>
      <c r="AC879" s="113"/>
      <c r="AD879" s="113"/>
      <c r="AE879" s="113"/>
    </row>
    <row r="880">
      <c r="A880" s="102"/>
      <c r="B880" s="140"/>
      <c r="C880" s="102"/>
      <c r="D880" s="102"/>
      <c r="E880" s="102"/>
      <c r="F880" s="141"/>
      <c r="G880" s="102"/>
      <c r="H880" s="102"/>
      <c r="I880" s="102"/>
      <c r="J880" s="102"/>
      <c r="K880" s="102"/>
      <c r="L880" s="140"/>
      <c r="M880" s="102"/>
      <c r="N880" s="102"/>
      <c r="O880" s="102"/>
      <c r="P880" s="101"/>
      <c r="Q880" s="101"/>
      <c r="R880" s="101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2"/>
      <c r="AC880" s="113"/>
      <c r="AD880" s="113"/>
      <c r="AE880" s="113"/>
    </row>
    <row r="881">
      <c r="A881" s="102"/>
      <c r="B881" s="140"/>
      <c r="C881" s="102"/>
      <c r="D881" s="102"/>
      <c r="E881" s="102"/>
      <c r="F881" s="141"/>
      <c r="G881" s="102"/>
      <c r="H881" s="102"/>
      <c r="I881" s="102"/>
      <c r="J881" s="102"/>
      <c r="K881" s="102"/>
      <c r="L881" s="140"/>
      <c r="M881" s="102"/>
      <c r="N881" s="102"/>
      <c r="O881" s="102"/>
      <c r="P881" s="101"/>
      <c r="Q881" s="101"/>
      <c r="R881" s="101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2"/>
      <c r="AC881" s="113"/>
      <c r="AD881" s="113"/>
      <c r="AE881" s="113"/>
    </row>
    <row r="882">
      <c r="A882" s="102"/>
      <c r="B882" s="140"/>
      <c r="C882" s="102"/>
      <c r="D882" s="102"/>
      <c r="E882" s="102"/>
      <c r="F882" s="141"/>
      <c r="G882" s="102"/>
      <c r="H882" s="102"/>
      <c r="I882" s="102"/>
      <c r="J882" s="102"/>
      <c r="K882" s="102"/>
      <c r="L882" s="140"/>
      <c r="M882" s="102"/>
      <c r="N882" s="102"/>
      <c r="O882" s="102"/>
      <c r="P882" s="101"/>
      <c r="Q882" s="101"/>
      <c r="R882" s="101"/>
      <c r="S882" s="102"/>
      <c r="T882" s="102"/>
      <c r="U882" s="102"/>
      <c r="V882" s="102"/>
      <c r="W882" s="102"/>
      <c r="X882" s="102"/>
      <c r="Y882" s="102"/>
      <c r="Z882" s="102"/>
      <c r="AA882" s="102"/>
      <c r="AB882" s="102"/>
      <c r="AC882" s="113"/>
      <c r="AD882" s="113"/>
      <c r="AE882" s="113"/>
    </row>
    <row r="883">
      <c r="A883" s="102"/>
      <c r="B883" s="140"/>
      <c r="C883" s="102"/>
      <c r="D883" s="102"/>
      <c r="E883" s="102"/>
      <c r="F883" s="141"/>
      <c r="G883" s="102"/>
      <c r="H883" s="102"/>
      <c r="I883" s="102"/>
      <c r="J883" s="102"/>
      <c r="K883" s="102"/>
      <c r="L883" s="140"/>
      <c r="M883" s="102"/>
      <c r="N883" s="102"/>
      <c r="O883" s="102"/>
      <c r="P883" s="101"/>
      <c r="Q883" s="101"/>
      <c r="R883" s="101"/>
      <c r="S883" s="102"/>
      <c r="T883" s="102"/>
      <c r="U883" s="102"/>
      <c r="V883" s="102"/>
      <c r="W883" s="102"/>
      <c r="X883" s="102"/>
      <c r="Y883" s="102"/>
      <c r="Z883" s="102"/>
      <c r="AA883" s="102"/>
      <c r="AB883" s="102"/>
      <c r="AC883" s="113"/>
      <c r="AD883" s="113"/>
      <c r="AE883" s="113"/>
    </row>
    <row r="884">
      <c r="A884" s="102"/>
      <c r="B884" s="140"/>
      <c r="C884" s="102"/>
      <c r="D884" s="102"/>
      <c r="E884" s="102"/>
      <c r="F884" s="141"/>
      <c r="G884" s="102"/>
      <c r="H884" s="102"/>
      <c r="I884" s="102"/>
      <c r="J884" s="102"/>
      <c r="K884" s="102"/>
      <c r="L884" s="140"/>
      <c r="M884" s="102"/>
      <c r="N884" s="102"/>
      <c r="O884" s="102"/>
      <c r="P884" s="101"/>
      <c r="Q884" s="101"/>
      <c r="R884" s="101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  <c r="AC884" s="113"/>
      <c r="AD884" s="113"/>
      <c r="AE884" s="113"/>
    </row>
    <row r="885">
      <c r="A885" s="102"/>
      <c r="B885" s="140"/>
      <c r="C885" s="102"/>
      <c r="D885" s="102"/>
      <c r="E885" s="102"/>
      <c r="F885" s="141"/>
      <c r="G885" s="102"/>
      <c r="H885" s="102"/>
      <c r="I885" s="102"/>
      <c r="J885" s="102"/>
      <c r="K885" s="102"/>
      <c r="L885" s="140"/>
      <c r="M885" s="102"/>
      <c r="N885" s="102"/>
      <c r="O885" s="102"/>
      <c r="P885" s="101"/>
      <c r="Q885" s="101"/>
      <c r="R885" s="101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2"/>
      <c r="AC885" s="113"/>
      <c r="AD885" s="113"/>
      <c r="AE885" s="113"/>
    </row>
    <row r="886">
      <c r="A886" s="102"/>
      <c r="B886" s="140"/>
      <c r="C886" s="102"/>
      <c r="D886" s="102"/>
      <c r="E886" s="102"/>
      <c r="F886" s="141"/>
      <c r="G886" s="102"/>
      <c r="H886" s="102"/>
      <c r="I886" s="102"/>
      <c r="J886" s="102"/>
      <c r="K886" s="102"/>
      <c r="L886" s="140"/>
      <c r="M886" s="102"/>
      <c r="N886" s="102"/>
      <c r="O886" s="102"/>
      <c r="P886" s="101"/>
      <c r="Q886" s="101"/>
      <c r="R886" s="101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2"/>
      <c r="AC886" s="113"/>
      <c r="AD886" s="113"/>
      <c r="AE886" s="113"/>
    </row>
    <row r="887">
      <c r="A887" s="102"/>
      <c r="B887" s="140"/>
      <c r="C887" s="102"/>
      <c r="D887" s="102"/>
      <c r="E887" s="102"/>
      <c r="F887" s="141"/>
      <c r="G887" s="102"/>
      <c r="H887" s="102"/>
      <c r="I887" s="102"/>
      <c r="J887" s="102"/>
      <c r="K887" s="102"/>
      <c r="L887" s="140"/>
      <c r="M887" s="102"/>
      <c r="N887" s="102"/>
      <c r="O887" s="102"/>
      <c r="P887" s="101"/>
      <c r="Q887" s="101"/>
      <c r="R887" s="101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2"/>
      <c r="AC887" s="113"/>
      <c r="AD887" s="113"/>
      <c r="AE887" s="113"/>
    </row>
    <row r="888">
      <c r="A888" s="102"/>
      <c r="B888" s="140"/>
      <c r="C888" s="102"/>
      <c r="D888" s="102"/>
      <c r="E888" s="102"/>
      <c r="F888" s="141"/>
      <c r="G888" s="102"/>
      <c r="H888" s="102"/>
      <c r="I888" s="102"/>
      <c r="J888" s="102"/>
      <c r="K888" s="102"/>
      <c r="L888" s="140"/>
      <c r="M888" s="102"/>
      <c r="N888" s="102"/>
      <c r="O888" s="102"/>
      <c r="P888" s="101"/>
      <c r="Q888" s="101"/>
      <c r="R888" s="101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13"/>
      <c r="AD888" s="113"/>
      <c r="AE888" s="113"/>
    </row>
    <row r="889">
      <c r="A889" s="102"/>
      <c r="B889" s="140"/>
      <c r="C889" s="102"/>
      <c r="D889" s="102"/>
      <c r="E889" s="102"/>
      <c r="F889" s="141"/>
      <c r="G889" s="102"/>
      <c r="H889" s="102"/>
      <c r="I889" s="102"/>
      <c r="J889" s="102"/>
      <c r="K889" s="102"/>
      <c r="L889" s="140"/>
      <c r="M889" s="102"/>
      <c r="N889" s="102"/>
      <c r="O889" s="102"/>
      <c r="P889" s="101"/>
      <c r="Q889" s="101"/>
      <c r="R889" s="101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2"/>
      <c r="AC889" s="113"/>
      <c r="AD889" s="113"/>
      <c r="AE889" s="113"/>
    </row>
    <row r="890">
      <c r="A890" s="102"/>
      <c r="B890" s="140"/>
      <c r="C890" s="102"/>
      <c r="D890" s="102"/>
      <c r="E890" s="102"/>
      <c r="F890" s="141"/>
      <c r="G890" s="102"/>
      <c r="H890" s="102"/>
      <c r="I890" s="102"/>
      <c r="J890" s="102"/>
      <c r="K890" s="102"/>
      <c r="L890" s="140"/>
      <c r="M890" s="102"/>
      <c r="N890" s="102"/>
      <c r="O890" s="102"/>
      <c r="P890" s="101"/>
      <c r="Q890" s="101"/>
      <c r="R890" s="101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2"/>
      <c r="AC890" s="113"/>
      <c r="AD890" s="113"/>
      <c r="AE890" s="113"/>
    </row>
    <row r="891">
      <c r="A891" s="102"/>
      <c r="B891" s="140"/>
      <c r="C891" s="102"/>
      <c r="D891" s="102"/>
      <c r="E891" s="102"/>
      <c r="F891" s="141"/>
      <c r="G891" s="102"/>
      <c r="H891" s="102"/>
      <c r="I891" s="102"/>
      <c r="J891" s="102"/>
      <c r="K891" s="102"/>
      <c r="L891" s="140"/>
      <c r="M891" s="102"/>
      <c r="N891" s="102"/>
      <c r="O891" s="102"/>
      <c r="P891" s="101"/>
      <c r="Q891" s="101"/>
      <c r="R891" s="101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2"/>
      <c r="AC891" s="113"/>
      <c r="AD891" s="113"/>
      <c r="AE891" s="113"/>
    </row>
    <row r="892">
      <c r="A892" s="102"/>
      <c r="B892" s="140"/>
      <c r="C892" s="102"/>
      <c r="D892" s="102"/>
      <c r="E892" s="102"/>
      <c r="F892" s="141"/>
      <c r="G892" s="102"/>
      <c r="H892" s="102"/>
      <c r="I892" s="102"/>
      <c r="J892" s="102"/>
      <c r="K892" s="102"/>
      <c r="L892" s="140"/>
      <c r="M892" s="102"/>
      <c r="N892" s="102"/>
      <c r="O892" s="102"/>
      <c r="P892" s="101"/>
      <c r="Q892" s="101"/>
      <c r="R892" s="101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2"/>
      <c r="AC892" s="113"/>
      <c r="AD892" s="113"/>
      <c r="AE892" s="113"/>
    </row>
    <row r="893">
      <c r="A893" s="102"/>
      <c r="B893" s="140"/>
      <c r="C893" s="102"/>
      <c r="D893" s="102"/>
      <c r="E893" s="102"/>
      <c r="F893" s="141"/>
      <c r="G893" s="102"/>
      <c r="H893" s="102"/>
      <c r="I893" s="102"/>
      <c r="J893" s="102"/>
      <c r="K893" s="102"/>
      <c r="L893" s="140"/>
      <c r="M893" s="102"/>
      <c r="N893" s="102"/>
      <c r="O893" s="102"/>
      <c r="P893" s="101"/>
      <c r="Q893" s="101"/>
      <c r="R893" s="101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2"/>
      <c r="AC893" s="113"/>
      <c r="AD893" s="113"/>
      <c r="AE893" s="113"/>
    </row>
    <row r="894">
      <c r="A894" s="102"/>
      <c r="B894" s="140"/>
      <c r="C894" s="102"/>
      <c r="D894" s="102"/>
      <c r="E894" s="102"/>
      <c r="F894" s="141"/>
      <c r="G894" s="102"/>
      <c r="H894" s="102"/>
      <c r="I894" s="102"/>
      <c r="J894" s="102"/>
      <c r="K894" s="102"/>
      <c r="L894" s="140"/>
      <c r="M894" s="102"/>
      <c r="N894" s="102"/>
      <c r="O894" s="102"/>
      <c r="P894" s="101"/>
      <c r="Q894" s="101"/>
      <c r="R894" s="101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2"/>
      <c r="AC894" s="113"/>
      <c r="AD894" s="113"/>
      <c r="AE894" s="113"/>
    </row>
    <row r="895">
      <c r="A895" s="102"/>
      <c r="B895" s="140"/>
      <c r="C895" s="102"/>
      <c r="D895" s="102"/>
      <c r="E895" s="102"/>
      <c r="F895" s="141"/>
      <c r="G895" s="102"/>
      <c r="H895" s="102"/>
      <c r="I895" s="102"/>
      <c r="J895" s="102"/>
      <c r="K895" s="102"/>
      <c r="L895" s="140"/>
      <c r="M895" s="102"/>
      <c r="N895" s="102"/>
      <c r="O895" s="102"/>
      <c r="P895" s="101"/>
      <c r="Q895" s="101"/>
      <c r="R895" s="101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2"/>
      <c r="AC895" s="113"/>
      <c r="AD895" s="113"/>
      <c r="AE895" s="113"/>
    </row>
    <row r="896">
      <c r="A896" s="102"/>
      <c r="B896" s="140"/>
      <c r="C896" s="102"/>
      <c r="D896" s="102"/>
      <c r="E896" s="102"/>
      <c r="F896" s="141"/>
      <c r="G896" s="102"/>
      <c r="H896" s="102"/>
      <c r="I896" s="102"/>
      <c r="J896" s="102"/>
      <c r="K896" s="102"/>
      <c r="L896" s="140"/>
      <c r="M896" s="102"/>
      <c r="N896" s="102"/>
      <c r="O896" s="102"/>
      <c r="P896" s="101"/>
      <c r="Q896" s="101"/>
      <c r="R896" s="101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13"/>
      <c r="AD896" s="113"/>
      <c r="AE896" s="113"/>
    </row>
    <row r="897">
      <c r="A897" s="102"/>
      <c r="B897" s="140"/>
      <c r="C897" s="102"/>
      <c r="D897" s="102"/>
      <c r="E897" s="102"/>
      <c r="F897" s="141"/>
      <c r="G897" s="102"/>
      <c r="H897" s="102"/>
      <c r="I897" s="102"/>
      <c r="J897" s="102"/>
      <c r="K897" s="102"/>
      <c r="L897" s="140"/>
      <c r="M897" s="102"/>
      <c r="N897" s="102"/>
      <c r="O897" s="102"/>
      <c r="P897" s="101"/>
      <c r="Q897" s="101"/>
      <c r="R897" s="101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2"/>
      <c r="AC897" s="113"/>
      <c r="AD897" s="113"/>
      <c r="AE897" s="113"/>
    </row>
    <row r="898">
      <c r="A898" s="102"/>
      <c r="B898" s="140"/>
      <c r="C898" s="102"/>
      <c r="D898" s="102"/>
      <c r="E898" s="102"/>
      <c r="F898" s="141"/>
      <c r="G898" s="102"/>
      <c r="H898" s="102"/>
      <c r="I898" s="102"/>
      <c r="J898" s="102"/>
      <c r="K898" s="102"/>
      <c r="L898" s="140"/>
      <c r="M898" s="102"/>
      <c r="N898" s="102"/>
      <c r="O898" s="102"/>
      <c r="P898" s="101"/>
      <c r="Q898" s="101"/>
      <c r="R898" s="101"/>
      <c r="S898" s="102"/>
      <c r="T898" s="102"/>
      <c r="U898" s="102"/>
      <c r="V898" s="102"/>
      <c r="W898" s="102"/>
      <c r="X898" s="102"/>
      <c r="Y898" s="102"/>
      <c r="Z898" s="102"/>
      <c r="AA898" s="102"/>
      <c r="AB898" s="102"/>
      <c r="AC898" s="113"/>
      <c r="AD898" s="113"/>
      <c r="AE898" s="113"/>
    </row>
    <row r="899">
      <c r="A899" s="102"/>
      <c r="B899" s="140"/>
      <c r="C899" s="102"/>
      <c r="D899" s="102"/>
      <c r="E899" s="102"/>
      <c r="F899" s="141"/>
      <c r="G899" s="102"/>
      <c r="H899" s="102"/>
      <c r="I899" s="102"/>
      <c r="J899" s="102"/>
      <c r="K899" s="102"/>
      <c r="L899" s="140"/>
      <c r="M899" s="102"/>
      <c r="N899" s="102"/>
      <c r="O899" s="102"/>
      <c r="P899" s="101"/>
      <c r="Q899" s="101"/>
      <c r="R899" s="101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2"/>
      <c r="AC899" s="113"/>
      <c r="AD899" s="113"/>
      <c r="AE899" s="113"/>
    </row>
    <row r="900">
      <c r="A900" s="102"/>
      <c r="B900" s="140"/>
      <c r="C900" s="102"/>
      <c r="D900" s="102"/>
      <c r="E900" s="102"/>
      <c r="F900" s="141"/>
      <c r="G900" s="102"/>
      <c r="H900" s="102"/>
      <c r="I900" s="102"/>
      <c r="J900" s="102"/>
      <c r="K900" s="102"/>
      <c r="L900" s="140"/>
      <c r="M900" s="102"/>
      <c r="N900" s="102"/>
      <c r="O900" s="102"/>
      <c r="P900" s="101"/>
      <c r="Q900" s="101"/>
      <c r="R900" s="101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2"/>
      <c r="AC900" s="113"/>
      <c r="AD900" s="113"/>
      <c r="AE900" s="113"/>
    </row>
    <row r="901">
      <c r="A901" s="102"/>
      <c r="B901" s="140"/>
      <c r="C901" s="102"/>
      <c r="D901" s="102"/>
      <c r="E901" s="102"/>
      <c r="F901" s="141"/>
      <c r="G901" s="102"/>
      <c r="H901" s="102"/>
      <c r="I901" s="102"/>
      <c r="J901" s="102"/>
      <c r="K901" s="102"/>
      <c r="L901" s="140"/>
      <c r="M901" s="102"/>
      <c r="N901" s="102"/>
      <c r="O901" s="102"/>
      <c r="P901" s="101"/>
      <c r="Q901" s="101"/>
      <c r="R901" s="101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2"/>
      <c r="AC901" s="113"/>
      <c r="AD901" s="113"/>
      <c r="AE901" s="113"/>
    </row>
    <row r="902">
      <c r="A902" s="102"/>
      <c r="B902" s="140"/>
      <c r="C902" s="102"/>
      <c r="D902" s="102"/>
      <c r="E902" s="102"/>
      <c r="F902" s="141"/>
      <c r="G902" s="102"/>
      <c r="H902" s="102"/>
      <c r="I902" s="102"/>
      <c r="J902" s="102"/>
      <c r="K902" s="102"/>
      <c r="L902" s="140"/>
      <c r="M902" s="102"/>
      <c r="N902" s="102"/>
      <c r="O902" s="102"/>
      <c r="P902" s="101"/>
      <c r="Q902" s="101"/>
      <c r="R902" s="101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2"/>
      <c r="AC902" s="113"/>
      <c r="AD902" s="113"/>
      <c r="AE902" s="113"/>
    </row>
    <row r="903">
      <c r="A903" s="102"/>
      <c r="B903" s="140"/>
      <c r="C903" s="102"/>
      <c r="D903" s="102"/>
      <c r="E903" s="102"/>
      <c r="F903" s="141"/>
      <c r="G903" s="102"/>
      <c r="H903" s="102"/>
      <c r="I903" s="102"/>
      <c r="J903" s="102"/>
      <c r="K903" s="102"/>
      <c r="L903" s="140"/>
      <c r="M903" s="102"/>
      <c r="N903" s="102"/>
      <c r="O903" s="102"/>
      <c r="P903" s="101"/>
      <c r="Q903" s="101"/>
      <c r="R903" s="101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2"/>
      <c r="AC903" s="113"/>
      <c r="AD903" s="113"/>
      <c r="AE903" s="113"/>
    </row>
    <row r="904">
      <c r="A904" s="102"/>
      <c r="B904" s="140"/>
      <c r="C904" s="102"/>
      <c r="D904" s="102"/>
      <c r="E904" s="102"/>
      <c r="F904" s="141"/>
      <c r="G904" s="102"/>
      <c r="H904" s="102"/>
      <c r="I904" s="102"/>
      <c r="J904" s="102"/>
      <c r="K904" s="102"/>
      <c r="L904" s="140"/>
      <c r="M904" s="102"/>
      <c r="N904" s="102"/>
      <c r="O904" s="102"/>
      <c r="P904" s="101"/>
      <c r="Q904" s="101"/>
      <c r="R904" s="101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2"/>
      <c r="AC904" s="113"/>
      <c r="AD904" s="113"/>
      <c r="AE904" s="113"/>
    </row>
    <row r="905">
      <c r="A905" s="102"/>
      <c r="B905" s="140"/>
      <c r="C905" s="102"/>
      <c r="D905" s="102"/>
      <c r="E905" s="102"/>
      <c r="F905" s="141"/>
      <c r="G905" s="102"/>
      <c r="H905" s="102"/>
      <c r="I905" s="102"/>
      <c r="J905" s="102"/>
      <c r="K905" s="102"/>
      <c r="L905" s="140"/>
      <c r="M905" s="102"/>
      <c r="N905" s="102"/>
      <c r="O905" s="102"/>
      <c r="P905" s="101"/>
      <c r="Q905" s="101"/>
      <c r="R905" s="101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2"/>
      <c r="AC905" s="113"/>
      <c r="AD905" s="113"/>
      <c r="AE905" s="113"/>
    </row>
    <row r="906">
      <c r="A906" s="102"/>
      <c r="B906" s="140"/>
      <c r="C906" s="102"/>
      <c r="D906" s="102"/>
      <c r="E906" s="102"/>
      <c r="F906" s="141"/>
      <c r="G906" s="102"/>
      <c r="H906" s="102"/>
      <c r="I906" s="102"/>
      <c r="J906" s="102"/>
      <c r="K906" s="102"/>
      <c r="L906" s="140"/>
      <c r="M906" s="102"/>
      <c r="N906" s="102"/>
      <c r="O906" s="102"/>
      <c r="P906" s="101"/>
      <c r="Q906" s="101"/>
      <c r="R906" s="101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  <c r="AC906" s="113"/>
      <c r="AD906" s="113"/>
      <c r="AE906" s="113"/>
    </row>
    <row r="907">
      <c r="A907" s="102"/>
      <c r="B907" s="140"/>
      <c r="C907" s="102"/>
      <c r="D907" s="102"/>
      <c r="E907" s="102"/>
      <c r="F907" s="141"/>
      <c r="G907" s="102"/>
      <c r="H907" s="102"/>
      <c r="I907" s="102"/>
      <c r="J907" s="102"/>
      <c r="K907" s="102"/>
      <c r="L907" s="140"/>
      <c r="M907" s="102"/>
      <c r="N907" s="102"/>
      <c r="O907" s="102"/>
      <c r="P907" s="101"/>
      <c r="Q907" s="101"/>
      <c r="R907" s="101"/>
      <c r="S907" s="102"/>
      <c r="T907" s="102"/>
      <c r="U907" s="102"/>
      <c r="V907" s="102"/>
      <c r="W907" s="102"/>
      <c r="X907" s="102"/>
      <c r="Y907" s="102"/>
      <c r="Z907" s="102"/>
      <c r="AA907" s="102"/>
      <c r="AB907" s="102"/>
      <c r="AC907" s="113"/>
      <c r="AD907" s="113"/>
      <c r="AE907" s="113"/>
    </row>
    <row r="908">
      <c r="A908" s="102"/>
      <c r="B908" s="140"/>
      <c r="C908" s="102"/>
      <c r="D908" s="102"/>
      <c r="E908" s="102"/>
      <c r="F908" s="141"/>
      <c r="G908" s="102"/>
      <c r="H908" s="102"/>
      <c r="I908" s="102"/>
      <c r="J908" s="102"/>
      <c r="K908" s="102"/>
      <c r="L908" s="140"/>
      <c r="M908" s="102"/>
      <c r="N908" s="102"/>
      <c r="O908" s="102"/>
      <c r="P908" s="101"/>
      <c r="Q908" s="101"/>
      <c r="R908" s="101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  <c r="AC908" s="113"/>
      <c r="AD908" s="113"/>
      <c r="AE908" s="113"/>
    </row>
    <row r="909">
      <c r="A909" s="102"/>
      <c r="B909" s="140"/>
      <c r="C909" s="102"/>
      <c r="D909" s="102"/>
      <c r="E909" s="102"/>
      <c r="F909" s="141"/>
      <c r="G909" s="102"/>
      <c r="H909" s="102"/>
      <c r="I909" s="102"/>
      <c r="J909" s="102"/>
      <c r="K909" s="102"/>
      <c r="L909" s="140"/>
      <c r="M909" s="102"/>
      <c r="N909" s="102"/>
      <c r="O909" s="102"/>
      <c r="P909" s="101"/>
      <c r="Q909" s="101"/>
      <c r="R909" s="101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2"/>
      <c r="AC909" s="113"/>
      <c r="AD909" s="113"/>
      <c r="AE909" s="113"/>
    </row>
    <row r="910">
      <c r="A910" s="102"/>
      <c r="B910" s="140"/>
      <c r="C910" s="102"/>
      <c r="D910" s="102"/>
      <c r="E910" s="102"/>
      <c r="F910" s="141"/>
      <c r="G910" s="102"/>
      <c r="H910" s="102"/>
      <c r="I910" s="102"/>
      <c r="J910" s="102"/>
      <c r="K910" s="102"/>
      <c r="L910" s="140"/>
      <c r="M910" s="102"/>
      <c r="N910" s="102"/>
      <c r="O910" s="102"/>
      <c r="P910" s="101"/>
      <c r="Q910" s="101"/>
      <c r="R910" s="101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  <c r="AC910" s="113"/>
      <c r="AD910" s="113"/>
      <c r="AE910" s="113"/>
    </row>
    <row r="911">
      <c r="A911" s="102"/>
      <c r="B911" s="140"/>
      <c r="C911" s="102"/>
      <c r="D911" s="102"/>
      <c r="E911" s="102"/>
      <c r="F911" s="141"/>
      <c r="G911" s="102"/>
      <c r="H911" s="102"/>
      <c r="I911" s="102"/>
      <c r="J911" s="102"/>
      <c r="K911" s="102"/>
      <c r="L911" s="140"/>
      <c r="M911" s="102"/>
      <c r="N911" s="102"/>
      <c r="O911" s="102"/>
      <c r="P911" s="101"/>
      <c r="Q911" s="101"/>
      <c r="R911" s="101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2"/>
      <c r="AC911" s="113"/>
      <c r="AD911" s="113"/>
      <c r="AE911" s="113"/>
    </row>
    <row r="912">
      <c r="A912" s="102"/>
      <c r="B912" s="140"/>
      <c r="C912" s="102"/>
      <c r="D912" s="102"/>
      <c r="E912" s="102"/>
      <c r="F912" s="141"/>
      <c r="G912" s="102"/>
      <c r="H912" s="102"/>
      <c r="I912" s="102"/>
      <c r="J912" s="102"/>
      <c r="K912" s="102"/>
      <c r="L912" s="140"/>
      <c r="M912" s="102"/>
      <c r="N912" s="102"/>
      <c r="O912" s="102"/>
      <c r="P912" s="101"/>
      <c r="Q912" s="101"/>
      <c r="R912" s="101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2"/>
      <c r="AC912" s="113"/>
      <c r="AD912" s="113"/>
      <c r="AE912" s="113"/>
    </row>
    <row r="913">
      <c r="A913" s="102"/>
      <c r="B913" s="140"/>
      <c r="C913" s="102"/>
      <c r="D913" s="102"/>
      <c r="E913" s="102"/>
      <c r="F913" s="141"/>
      <c r="G913" s="102"/>
      <c r="H913" s="102"/>
      <c r="I913" s="102"/>
      <c r="J913" s="102"/>
      <c r="K913" s="102"/>
      <c r="L913" s="140"/>
      <c r="M913" s="102"/>
      <c r="N913" s="102"/>
      <c r="O913" s="102"/>
      <c r="P913" s="101"/>
      <c r="Q913" s="101"/>
      <c r="R913" s="101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2"/>
      <c r="AC913" s="113"/>
      <c r="AD913" s="113"/>
      <c r="AE913" s="113"/>
    </row>
    <row r="914">
      <c r="A914" s="102"/>
      <c r="B914" s="140"/>
      <c r="C914" s="102"/>
      <c r="D914" s="102"/>
      <c r="E914" s="102"/>
      <c r="F914" s="141"/>
      <c r="G914" s="102"/>
      <c r="H914" s="102"/>
      <c r="I914" s="102"/>
      <c r="J914" s="102"/>
      <c r="K914" s="102"/>
      <c r="L914" s="140"/>
      <c r="M914" s="102"/>
      <c r="N914" s="102"/>
      <c r="O914" s="102"/>
      <c r="P914" s="101"/>
      <c r="Q914" s="101"/>
      <c r="R914" s="101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2"/>
      <c r="AC914" s="113"/>
      <c r="AD914" s="113"/>
      <c r="AE914" s="113"/>
    </row>
    <row r="915">
      <c r="A915" s="102"/>
      <c r="B915" s="140"/>
      <c r="C915" s="102"/>
      <c r="D915" s="102"/>
      <c r="E915" s="102"/>
      <c r="F915" s="141"/>
      <c r="G915" s="102"/>
      <c r="H915" s="102"/>
      <c r="I915" s="102"/>
      <c r="J915" s="102"/>
      <c r="K915" s="102"/>
      <c r="L915" s="140"/>
      <c r="M915" s="102"/>
      <c r="N915" s="102"/>
      <c r="O915" s="102"/>
      <c r="P915" s="101"/>
      <c r="Q915" s="101"/>
      <c r="R915" s="101"/>
      <c r="S915" s="102"/>
      <c r="T915" s="102"/>
      <c r="U915" s="102"/>
      <c r="V915" s="102"/>
      <c r="W915" s="102"/>
      <c r="X915" s="102"/>
      <c r="Y915" s="102"/>
      <c r="Z915" s="102"/>
      <c r="AA915" s="102"/>
      <c r="AB915" s="102"/>
      <c r="AC915" s="113"/>
      <c r="AD915" s="113"/>
      <c r="AE915" s="113"/>
    </row>
    <row r="916">
      <c r="A916" s="102"/>
      <c r="B916" s="140"/>
      <c r="C916" s="102"/>
      <c r="D916" s="102"/>
      <c r="E916" s="102"/>
      <c r="F916" s="141"/>
      <c r="G916" s="102"/>
      <c r="H916" s="102"/>
      <c r="I916" s="102"/>
      <c r="J916" s="102"/>
      <c r="K916" s="102"/>
      <c r="L916" s="140"/>
      <c r="M916" s="102"/>
      <c r="N916" s="102"/>
      <c r="O916" s="102"/>
      <c r="P916" s="101"/>
      <c r="Q916" s="101"/>
      <c r="R916" s="101"/>
      <c r="S916" s="102"/>
      <c r="T916" s="102"/>
      <c r="U916" s="102"/>
      <c r="V916" s="102"/>
      <c r="W916" s="102"/>
      <c r="X916" s="102"/>
      <c r="Y916" s="102"/>
      <c r="Z916" s="102"/>
      <c r="AA916" s="102"/>
      <c r="AB916" s="102"/>
      <c r="AC916" s="113"/>
      <c r="AD916" s="113"/>
      <c r="AE916" s="113"/>
    </row>
    <row r="917">
      <c r="A917" s="102"/>
      <c r="B917" s="140"/>
      <c r="C917" s="102"/>
      <c r="D917" s="102"/>
      <c r="E917" s="102"/>
      <c r="F917" s="141"/>
      <c r="G917" s="102"/>
      <c r="H917" s="102"/>
      <c r="I917" s="102"/>
      <c r="J917" s="102"/>
      <c r="K917" s="102"/>
      <c r="L917" s="140"/>
      <c r="M917" s="102"/>
      <c r="N917" s="102"/>
      <c r="O917" s="102"/>
      <c r="P917" s="101"/>
      <c r="Q917" s="101"/>
      <c r="R917" s="101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2"/>
      <c r="AC917" s="113"/>
      <c r="AD917" s="113"/>
      <c r="AE917" s="113"/>
    </row>
    <row r="918">
      <c r="A918" s="102"/>
      <c r="B918" s="140"/>
      <c r="C918" s="102"/>
      <c r="D918" s="102"/>
      <c r="E918" s="102"/>
      <c r="F918" s="141"/>
      <c r="G918" s="102"/>
      <c r="H918" s="102"/>
      <c r="I918" s="102"/>
      <c r="J918" s="102"/>
      <c r="K918" s="102"/>
      <c r="L918" s="140"/>
      <c r="M918" s="102"/>
      <c r="N918" s="102"/>
      <c r="O918" s="102"/>
      <c r="P918" s="101"/>
      <c r="Q918" s="101"/>
      <c r="R918" s="101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  <c r="AC918" s="113"/>
      <c r="AD918" s="113"/>
      <c r="AE918" s="113"/>
    </row>
    <row r="919">
      <c r="A919" s="102"/>
      <c r="B919" s="140"/>
      <c r="C919" s="102"/>
      <c r="D919" s="102"/>
      <c r="E919" s="102"/>
      <c r="F919" s="141"/>
      <c r="G919" s="102"/>
      <c r="H919" s="102"/>
      <c r="I919" s="102"/>
      <c r="J919" s="102"/>
      <c r="K919" s="102"/>
      <c r="L919" s="140"/>
      <c r="M919" s="102"/>
      <c r="N919" s="102"/>
      <c r="O919" s="102"/>
      <c r="P919" s="101"/>
      <c r="Q919" s="101"/>
      <c r="R919" s="101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2"/>
      <c r="AC919" s="113"/>
      <c r="AD919" s="113"/>
      <c r="AE919" s="113"/>
    </row>
    <row r="920">
      <c r="A920" s="102"/>
      <c r="B920" s="140"/>
      <c r="C920" s="102"/>
      <c r="D920" s="102"/>
      <c r="E920" s="102"/>
      <c r="F920" s="141"/>
      <c r="G920" s="102"/>
      <c r="H920" s="102"/>
      <c r="I920" s="102"/>
      <c r="J920" s="102"/>
      <c r="K920" s="102"/>
      <c r="L920" s="140"/>
      <c r="M920" s="102"/>
      <c r="N920" s="102"/>
      <c r="O920" s="102"/>
      <c r="P920" s="101"/>
      <c r="Q920" s="101"/>
      <c r="R920" s="101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2"/>
      <c r="AC920" s="113"/>
      <c r="AD920" s="113"/>
      <c r="AE920" s="113"/>
    </row>
    <row r="921">
      <c r="A921" s="102"/>
      <c r="B921" s="140"/>
      <c r="C921" s="102"/>
      <c r="D921" s="102"/>
      <c r="E921" s="102"/>
      <c r="F921" s="141"/>
      <c r="G921" s="102"/>
      <c r="H921" s="102"/>
      <c r="I921" s="102"/>
      <c r="J921" s="102"/>
      <c r="K921" s="102"/>
      <c r="L921" s="140"/>
      <c r="M921" s="102"/>
      <c r="N921" s="102"/>
      <c r="O921" s="102"/>
      <c r="P921" s="101"/>
      <c r="Q921" s="101"/>
      <c r="R921" s="101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2"/>
      <c r="AC921" s="113"/>
      <c r="AD921" s="113"/>
      <c r="AE921" s="113"/>
    </row>
    <row r="922">
      <c r="A922" s="102"/>
      <c r="B922" s="140"/>
      <c r="C922" s="102"/>
      <c r="D922" s="102"/>
      <c r="E922" s="102"/>
      <c r="F922" s="141"/>
      <c r="G922" s="102"/>
      <c r="H922" s="102"/>
      <c r="I922" s="102"/>
      <c r="J922" s="102"/>
      <c r="K922" s="102"/>
      <c r="L922" s="140"/>
      <c r="M922" s="102"/>
      <c r="N922" s="102"/>
      <c r="O922" s="102"/>
      <c r="P922" s="101"/>
      <c r="Q922" s="101"/>
      <c r="R922" s="101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2"/>
      <c r="AC922" s="113"/>
      <c r="AD922" s="113"/>
      <c r="AE922" s="113"/>
    </row>
    <row r="923">
      <c r="A923" s="102"/>
      <c r="B923" s="140"/>
      <c r="C923" s="102"/>
      <c r="D923" s="102"/>
      <c r="E923" s="102"/>
      <c r="F923" s="141"/>
      <c r="G923" s="102"/>
      <c r="H923" s="102"/>
      <c r="I923" s="102"/>
      <c r="J923" s="102"/>
      <c r="K923" s="102"/>
      <c r="L923" s="140"/>
      <c r="M923" s="102"/>
      <c r="N923" s="102"/>
      <c r="O923" s="102"/>
      <c r="P923" s="101"/>
      <c r="Q923" s="101"/>
      <c r="R923" s="101"/>
      <c r="S923" s="102"/>
      <c r="T923" s="102"/>
      <c r="U923" s="102"/>
      <c r="V923" s="102"/>
      <c r="W923" s="102"/>
      <c r="X923" s="102"/>
      <c r="Y923" s="102"/>
      <c r="Z923" s="102"/>
      <c r="AA923" s="102"/>
      <c r="AB923" s="102"/>
      <c r="AC923" s="113"/>
      <c r="AD923" s="113"/>
      <c r="AE923" s="113"/>
    </row>
    <row r="924">
      <c r="A924" s="102"/>
      <c r="B924" s="140"/>
      <c r="C924" s="102"/>
      <c r="D924" s="102"/>
      <c r="E924" s="102"/>
      <c r="F924" s="141"/>
      <c r="G924" s="102"/>
      <c r="H924" s="102"/>
      <c r="I924" s="102"/>
      <c r="J924" s="102"/>
      <c r="K924" s="102"/>
      <c r="L924" s="140"/>
      <c r="M924" s="102"/>
      <c r="N924" s="102"/>
      <c r="O924" s="102"/>
      <c r="P924" s="101"/>
      <c r="Q924" s="101"/>
      <c r="R924" s="101"/>
      <c r="S924" s="102"/>
      <c r="T924" s="102"/>
      <c r="U924" s="102"/>
      <c r="V924" s="102"/>
      <c r="W924" s="102"/>
      <c r="X924" s="102"/>
      <c r="Y924" s="102"/>
      <c r="Z924" s="102"/>
      <c r="AA924" s="102"/>
      <c r="AB924" s="102"/>
      <c r="AC924" s="113"/>
      <c r="AD924" s="113"/>
      <c r="AE924" s="113"/>
    </row>
    <row r="925">
      <c r="A925" s="102"/>
      <c r="B925" s="140"/>
      <c r="C925" s="102"/>
      <c r="D925" s="102"/>
      <c r="E925" s="102"/>
      <c r="F925" s="141"/>
      <c r="G925" s="102"/>
      <c r="H925" s="102"/>
      <c r="I925" s="102"/>
      <c r="J925" s="102"/>
      <c r="K925" s="102"/>
      <c r="L925" s="140"/>
      <c r="M925" s="102"/>
      <c r="N925" s="102"/>
      <c r="O925" s="102"/>
      <c r="P925" s="101"/>
      <c r="Q925" s="101"/>
      <c r="R925" s="101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2"/>
      <c r="AC925" s="113"/>
      <c r="AD925" s="113"/>
      <c r="AE925" s="113"/>
    </row>
    <row r="926">
      <c r="A926" s="102"/>
      <c r="B926" s="140"/>
      <c r="C926" s="102"/>
      <c r="D926" s="102"/>
      <c r="E926" s="102"/>
      <c r="F926" s="141"/>
      <c r="G926" s="102"/>
      <c r="H926" s="102"/>
      <c r="I926" s="102"/>
      <c r="J926" s="102"/>
      <c r="K926" s="102"/>
      <c r="L926" s="140"/>
      <c r="M926" s="102"/>
      <c r="N926" s="102"/>
      <c r="O926" s="102"/>
      <c r="P926" s="101"/>
      <c r="Q926" s="101"/>
      <c r="R926" s="101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  <c r="AC926" s="113"/>
      <c r="AD926" s="113"/>
      <c r="AE926" s="113"/>
    </row>
    <row r="927">
      <c r="A927" s="102"/>
      <c r="B927" s="140"/>
      <c r="C927" s="102"/>
      <c r="D927" s="102"/>
      <c r="E927" s="102"/>
      <c r="F927" s="141"/>
      <c r="G927" s="102"/>
      <c r="H927" s="102"/>
      <c r="I927" s="102"/>
      <c r="J927" s="102"/>
      <c r="K927" s="102"/>
      <c r="L927" s="140"/>
      <c r="M927" s="102"/>
      <c r="N927" s="102"/>
      <c r="O927" s="102"/>
      <c r="P927" s="101"/>
      <c r="Q927" s="101"/>
      <c r="R927" s="101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  <c r="AC927" s="113"/>
      <c r="AD927" s="113"/>
      <c r="AE927" s="113"/>
    </row>
    <row r="928">
      <c r="A928" s="102"/>
      <c r="B928" s="140"/>
      <c r="C928" s="102"/>
      <c r="D928" s="102"/>
      <c r="E928" s="102"/>
      <c r="F928" s="141"/>
      <c r="G928" s="102"/>
      <c r="H928" s="102"/>
      <c r="I928" s="102"/>
      <c r="J928" s="102"/>
      <c r="K928" s="102"/>
      <c r="L928" s="140"/>
      <c r="M928" s="102"/>
      <c r="N928" s="102"/>
      <c r="O928" s="102"/>
      <c r="P928" s="101"/>
      <c r="Q928" s="101"/>
      <c r="R928" s="101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2"/>
      <c r="AC928" s="113"/>
      <c r="AD928" s="113"/>
      <c r="AE928" s="113"/>
    </row>
    <row r="929">
      <c r="A929" s="102"/>
      <c r="B929" s="140"/>
      <c r="C929" s="102"/>
      <c r="D929" s="102"/>
      <c r="E929" s="102"/>
      <c r="F929" s="141"/>
      <c r="G929" s="102"/>
      <c r="H929" s="102"/>
      <c r="I929" s="102"/>
      <c r="J929" s="102"/>
      <c r="K929" s="102"/>
      <c r="L929" s="140"/>
      <c r="M929" s="102"/>
      <c r="N929" s="102"/>
      <c r="O929" s="102"/>
      <c r="P929" s="101"/>
      <c r="Q929" s="101"/>
      <c r="R929" s="101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2"/>
      <c r="AC929" s="113"/>
      <c r="AD929" s="113"/>
      <c r="AE929" s="113"/>
    </row>
    <row r="930">
      <c r="A930" s="102"/>
      <c r="B930" s="140"/>
      <c r="C930" s="102"/>
      <c r="D930" s="102"/>
      <c r="E930" s="102"/>
      <c r="F930" s="141"/>
      <c r="G930" s="102"/>
      <c r="H930" s="102"/>
      <c r="I930" s="102"/>
      <c r="J930" s="102"/>
      <c r="K930" s="102"/>
      <c r="L930" s="140"/>
      <c r="M930" s="102"/>
      <c r="N930" s="102"/>
      <c r="O930" s="102"/>
      <c r="P930" s="101"/>
      <c r="Q930" s="101"/>
      <c r="R930" s="101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2"/>
      <c r="AC930" s="113"/>
      <c r="AD930" s="113"/>
      <c r="AE930" s="113"/>
    </row>
    <row r="931">
      <c r="A931" s="102"/>
      <c r="B931" s="140"/>
      <c r="C931" s="102"/>
      <c r="D931" s="102"/>
      <c r="E931" s="102"/>
      <c r="F931" s="141"/>
      <c r="G931" s="102"/>
      <c r="H931" s="102"/>
      <c r="I931" s="102"/>
      <c r="J931" s="102"/>
      <c r="K931" s="102"/>
      <c r="L931" s="140"/>
      <c r="M931" s="102"/>
      <c r="N931" s="102"/>
      <c r="O931" s="102"/>
      <c r="P931" s="101"/>
      <c r="Q931" s="101"/>
      <c r="R931" s="101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2"/>
      <c r="AC931" s="113"/>
      <c r="AD931" s="113"/>
      <c r="AE931" s="113"/>
    </row>
    <row r="932">
      <c r="A932" s="102"/>
      <c r="B932" s="140"/>
      <c r="C932" s="102"/>
      <c r="D932" s="102"/>
      <c r="E932" s="102"/>
      <c r="F932" s="141"/>
      <c r="G932" s="102"/>
      <c r="H932" s="102"/>
      <c r="I932" s="102"/>
      <c r="J932" s="102"/>
      <c r="K932" s="102"/>
      <c r="L932" s="140"/>
      <c r="M932" s="102"/>
      <c r="N932" s="102"/>
      <c r="O932" s="102"/>
      <c r="P932" s="101"/>
      <c r="Q932" s="101"/>
      <c r="R932" s="101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2"/>
      <c r="AC932" s="113"/>
      <c r="AD932" s="113"/>
      <c r="AE932" s="113"/>
    </row>
    <row r="933">
      <c r="A933" s="102"/>
      <c r="B933" s="140"/>
      <c r="C933" s="102"/>
      <c r="D933" s="102"/>
      <c r="E933" s="102"/>
      <c r="F933" s="141"/>
      <c r="G933" s="102"/>
      <c r="H933" s="102"/>
      <c r="I933" s="102"/>
      <c r="J933" s="102"/>
      <c r="K933" s="102"/>
      <c r="L933" s="140"/>
      <c r="M933" s="102"/>
      <c r="N933" s="102"/>
      <c r="O933" s="102"/>
      <c r="P933" s="101"/>
      <c r="Q933" s="101"/>
      <c r="R933" s="101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  <c r="AC933" s="113"/>
      <c r="AD933" s="113"/>
      <c r="AE933" s="113"/>
    </row>
    <row r="934">
      <c r="A934" s="102"/>
      <c r="B934" s="140"/>
      <c r="C934" s="102"/>
      <c r="D934" s="102"/>
      <c r="E934" s="102"/>
      <c r="F934" s="141"/>
      <c r="G934" s="102"/>
      <c r="H934" s="102"/>
      <c r="I934" s="102"/>
      <c r="J934" s="102"/>
      <c r="K934" s="102"/>
      <c r="L934" s="140"/>
      <c r="M934" s="102"/>
      <c r="N934" s="102"/>
      <c r="O934" s="102"/>
      <c r="P934" s="101"/>
      <c r="Q934" s="101"/>
      <c r="R934" s="101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  <c r="AC934" s="113"/>
      <c r="AD934" s="113"/>
      <c r="AE934" s="113"/>
    </row>
    <row r="935">
      <c r="A935" s="102"/>
      <c r="B935" s="140"/>
      <c r="C935" s="102"/>
      <c r="D935" s="102"/>
      <c r="E935" s="102"/>
      <c r="F935" s="141"/>
      <c r="G935" s="102"/>
      <c r="H935" s="102"/>
      <c r="I935" s="102"/>
      <c r="J935" s="102"/>
      <c r="K935" s="102"/>
      <c r="L935" s="140"/>
      <c r="M935" s="102"/>
      <c r="N935" s="102"/>
      <c r="O935" s="102"/>
      <c r="P935" s="101"/>
      <c r="Q935" s="101"/>
      <c r="R935" s="101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2"/>
      <c r="AC935" s="113"/>
      <c r="AD935" s="113"/>
      <c r="AE935" s="113"/>
    </row>
    <row r="936">
      <c r="A936" s="102"/>
      <c r="B936" s="140"/>
      <c r="C936" s="102"/>
      <c r="D936" s="102"/>
      <c r="E936" s="102"/>
      <c r="F936" s="141"/>
      <c r="G936" s="102"/>
      <c r="H936" s="102"/>
      <c r="I936" s="102"/>
      <c r="J936" s="102"/>
      <c r="K936" s="102"/>
      <c r="L936" s="140"/>
      <c r="M936" s="102"/>
      <c r="N936" s="102"/>
      <c r="O936" s="102"/>
      <c r="P936" s="101"/>
      <c r="Q936" s="101"/>
      <c r="R936" s="101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2"/>
      <c r="AC936" s="113"/>
      <c r="AD936" s="113"/>
      <c r="AE936" s="113"/>
    </row>
    <row r="937">
      <c r="A937" s="102"/>
      <c r="B937" s="140"/>
      <c r="C937" s="102"/>
      <c r="D937" s="102"/>
      <c r="E937" s="102"/>
      <c r="F937" s="141"/>
      <c r="G937" s="102"/>
      <c r="H937" s="102"/>
      <c r="I937" s="102"/>
      <c r="J937" s="102"/>
      <c r="K937" s="102"/>
      <c r="L937" s="140"/>
      <c r="M937" s="102"/>
      <c r="N937" s="102"/>
      <c r="O937" s="102"/>
      <c r="P937" s="101"/>
      <c r="Q937" s="101"/>
      <c r="R937" s="101"/>
      <c r="S937" s="102"/>
      <c r="T937" s="102"/>
      <c r="U937" s="102"/>
      <c r="V937" s="102"/>
      <c r="W937" s="102"/>
      <c r="X937" s="102"/>
      <c r="Y937" s="102"/>
      <c r="Z937" s="102"/>
      <c r="AA937" s="102"/>
      <c r="AB937" s="102"/>
      <c r="AC937" s="113"/>
      <c r="AD937" s="113"/>
      <c r="AE937" s="113"/>
    </row>
    <row r="938">
      <c r="A938" s="102"/>
      <c r="B938" s="140"/>
      <c r="C938" s="102"/>
      <c r="D938" s="102"/>
      <c r="E938" s="102"/>
      <c r="F938" s="141"/>
      <c r="G938" s="102"/>
      <c r="H938" s="102"/>
      <c r="I938" s="102"/>
      <c r="J938" s="102"/>
      <c r="K938" s="102"/>
      <c r="L938" s="140"/>
      <c r="M938" s="102"/>
      <c r="N938" s="102"/>
      <c r="O938" s="102"/>
      <c r="P938" s="101"/>
      <c r="Q938" s="101"/>
      <c r="R938" s="101"/>
      <c r="S938" s="102"/>
      <c r="T938" s="102"/>
      <c r="U938" s="102"/>
      <c r="V938" s="102"/>
      <c r="W938" s="102"/>
      <c r="X938" s="102"/>
      <c r="Y938" s="102"/>
      <c r="Z938" s="102"/>
      <c r="AA938" s="102"/>
      <c r="AB938" s="102"/>
      <c r="AC938" s="113"/>
      <c r="AD938" s="113"/>
      <c r="AE938" s="113"/>
    </row>
    <row r="939">
      <c r="A939" s="102"/>
      <c r="B939" s="140"/>
      <c r="C939" s="102"/>
      <c r="D939" s="102"/>
      <c r="E939" s="102"/>
      <c r="F939" s="141"/>
      <c r="G939" s="102"/>
      <c r="H939" s="102"/>
      <c r="I939" s="102"/>
      <c r="J939" s="102"/>
      <c r="K939" s="102"/>
      <c r="L939" s="140"/>
      <c r="M939" s="102"/>
      <c r="N939" s="102"/>
      <c r="O939" s="102"/>
      <c r="P939" s="101"/>
      <c r="Q939" s="101"/>
      <c r="R939" s="101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2"/>
      <c r="AC939" s="113"/>
      <c r="AD939" s="113"/>
      <c r="AE939" s="113"/>
    </row>
    <row r="940">
      <c r="A940" s="102"/>
      <c r="B940" s="140"/>
      <c r="C940" s="102"/>
      <c r="D940" s="102"/>
      <c r="E940" s="102"/>
      <c r="F940" s="141"/>
      <c r="G940" s="102"/>
      <c r="H940" s="102"/>
      <c r="I940" s="102"/>
      <c r="J940" s="102"/>
      <c r="K940" s="102"/>
      <c r="L940" s="140"/>
      <c r="M940" s="102"/>
      <c r="N940" s="102"/>
      <c r="O940" s="102"/>
      <c r="P940" s="101"/>
      <c r="Q940" s="101"/>
      <c r="R940" s="101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2"/>
      <c r="AC940" s="113"/>
      <c r="AD940" s="113"/>
      <c r="AE940" s="113"/>
    </row>
    <row r="941">
      <c r="A941" s="102"/>
      <c r="B941" s="140"/>
      <c r="C941" s="102"/>
      <c r="D941" s="102"/>
      <c r="E941" s="102"/>
      <c r="F941" s="141"/>
      <c r="G941" s="102"/>
      <c r="H941" s="102"/>
      <c r="I941" s="102"/>
      <c r="J941" s="102"/>
      <c r="K941" s="102"/>
      <c r="L941" s="140"/>
      <c r="M941" s="102"/>
      <c r="N941" s="102"/>
      <c r="O941" s="102"/>
      <c r="P941" s="101"/>
      <c r="Q941" s="101"/>
      <c r="R941" s="101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2"/>
      <c r="AC941" s="113"/>
      <c r="AD941" s="113"/>
      <c r="AE941" s="113"/>
    </row>
    <row r="942">
      <c r="A942" s="102"/>
      <c r="B942" s="140"/>
      <c r="C942" s="102"/>
      <c r="D942" s="102"/>
      <c r="E942" s="102"/>
      <c r="F942" s="141"/>
      <c r="G942" s="102"/>
      <c r="H942" s="102"/>
      <c r="I942" s="102"/>
      <c r="J942" s="102"/>
      <c r="K942" s="102"/>
      <c r="L942" s="140"/>
      <c r="M942" s="102"/>
      <c r="N942" s="102"/>
      <c r="O942" s="102"/>
      <c r="P942" s="101"/>
      <c r="Q942" s="101"/>
      <c r="R942" s="101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2"/>
      <c r="AC942" s="113"/>
      <c r="AD942" s="113"/>
      <c r="AE942" s="113"/>
    </row>
    <row r="943">
      <c r="A943" s="102"/>
      <c r="B943" s="140"/>
      <c r="C943" s="102"/>
      <c r="D943" s="102"/>
      <c r="E943" s="102"/>
      <c r="F943" s="141"/>
      <c r="G943" s="102"/>
      <c r="H943" s="102"/>
      <c r="I943" s="102"/>
      <c r="J943" s="102"/>
      <c r="K943" s="102"/>
      <c r="L943" s="140"/>
      <c r="M943" s="102"/>
      <c r="N943" s="102"/>
      <c r="O943" s="102"/>
      <c r="P943" s="101"/>
      <c r="Q943" s="101"/>
      <c r="R943" s="101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2"/>
      <c r="AC943" s="113"/>
      <c r="AD943" s="113"/>
      <c r="AE943" s="113"/>
    </row>
    <row r="944">
      <c r="A944" s="102"/>
      <c r="B944" s="140"/>
      <c r="C944" s="102"/>
      <c r="D944" s="102"/>
      <c r="E944" s="102"/>
      <c r="F944" s="141"/>
      <c r="G944" s="102"/>
      <c r="H944" s="102"/>
      <c r="I944" s="102"/>
      <c r="J944" s="102"/>
      <c r="K944" s="102"/>
      <c r="L944" s="140"/>
      <c r="M944" s="102"/>
      <c r="N944" s="102"/>
      <c r="O944" s="102"/>
      <c r="P944" s="101"/>
      <c r="Q944" s="101"/>
      <c r="R944" s="101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2"/>
      <c r="AC944" s="113"/>
      <c r="AD944" s="113"/>
      <c r="AE944" s="113"/>
    </row>
    <row r="945">
      <c r="A945" s="102"/>
      <c r="B945" s="140"/>
      <c r="C945" s="102"/>
      <c r="D945" s="102"/>
      <c r="E945" s="102"/>
      <c r="F945" s="141"/>
      <c r="G945" s="102"/>
      <c r="H945" s="102"/>
      <c r="I945" s="102"/>
      <c r="J945" s="102"/>
      <c r="K945" s="102"/>
      <c r="L945" s="140"/>
      <c r="M945" s="102"/>
      <c r="N945" s="102"/>
      <c r="O945" s="102"/>
      <c r="P945" s="101"/>
      <c r="Q945" s="101"/>
      <c r="R945" s="101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2"/>
      <c r="AC945" s="113"/>
      <c r="AD945" s="113"/>
      <c r="AE945" s="113"/>
    </row>
    <row r="946">
      <c r="A946" s="102"/>
      <c r="B946" s="140"/>
      <c r="C946" s="102"/>
      <c r="D946" s="102"/>
      <c r="E946" s="102"/>
      <c r="F946" s="141"/>
      <c r="G946" s="102"/>
      <c r="H946" s="102"/>
      <c r="I946" s="102"/>
      <c r="J946" s="102"/>
      <c r="K946" s="102"/>
      <c r="L946" s="140"/>
      <c r="M946" s="102"/>
      <c r="N946" s="102"/>
      <c r="O946" s="102"/>
      <c r="P946" s="101"/>
      <c r="Q946" s="101"/>
      <c r="R946" s="101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  <c r="AC946" s="113"/>
      <c r="AD946" s="113"/>
      <c r="AE946" s="113"/>
    </row>
    <row r="947">
      <c r="A947" s="102"/>
      <c r="B947" s="140"/>
      <c r="C947" s="102"/>
      <c r="D947" s="102"/>
      <c r="E947" s="102"/>
      <c r="F947" s="141"/>
      <c r="G947" s="102"/>
      <c r="H947" s="102"/>
      <c r="I947" s="102"/>
      <c r="J947" s="102"/>
      <c r="K947" s="102"/>
      <c r="L947" s="140"/>
      <c r="M947" s="102"/>
      <c r="N947" s="102"/>
      <c r="O947" s="102"/>
      <c r="P947" s="101"/>
      <c r="Q947" s="101"/>
      <c r="R947" s="101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2"/>
      <c r="AC947" s="113"/>
      <c r="AD947" s="113"/>
      <c r="AE947" s="113"/>
    </row>
    <row r="948">
      <c r="A948" s="102"/>
      <c r="B948" s="140"/>
      <c r="C948" s="102"/>
      <c r="D948" s="102"/>
      <c r="E948" s="102"/>
      <c r="F948" s="141"/>
      <c r="G948" s="102"/>
      <c r="H948" s="102"/>
      <c r="I948" s="102"/>
      <c r="J948" s="102"/>
      <c r="K948" s="102"/>
      <c r="L948" s="140"/>
      <c r="M948" s="102"/>
      <c r="N948" s="102"/>
      <c r="O948" s="102"/>
      <c r="P948" s="101"/>
      <c r="Q948" s="101"/>
      <c r="R948" s="101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2"/>
      <c r="AC948" s="113"/>
      <c r="AD948" s="113"/>
      <c r="AE948" s="113"/>
    </row>
    <row r="949">
      <c r="A949" s="102"/>
      <c r="B949" s="140"/>
      <c r="C949" s="102"/>
      <c r="D949" s="102"/>
      <c r="E949" s="102"/>
      <c r="F949" s="141"/>
      <c r="G949" s="102"/>
      <c r="H949" s="102"/>
      <c r="I949" s="102"/>
      <c r="J949" s="102"/>
      <c r="K949" s="102"/>
      <c r="L949" s="140"/>
      <c r="M949" s="102"/>
      <c r="N949" s="102"/>
      <c r="O949" s="102"/>
      <c r="P949" s="101"/>
      <c r="Q949" s="101"/>
      <c r="R949" s="101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  <c r="AC949" s="113"/>
      <c r="AD949" s="113"/>
      <c r="AE949" s="113"/>
    </row>
    <row r="950">
      <c r="A950" s="102"/>
      <c r="B950" s="140"/>
      <c r="C950" s="102"/>
      <c r="D950" s="102"/>
      <c r="E950" s="102"/>
      <c r="F950" s="141"/>
      <c r="G950" s="102"/>
      <c r="H950" s="102"/>
      <c r="I950" s="102"/>
      <c r="J950" s="102"/>
      <c r="K950" s="102"/>
      <c r="L950" s="140"/>
      <c r="M950" s="102"/>
      <c r="N950" s="102"/>
      <c r="O950" s="102"/>
      <c r="P950" s="101"/>
      <c r="Q950" s="101"/>
      <c r="R950" s="101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2"/>
      <c r="AC950" s="113"/>
      <c r="AD950" s="113"/>
      <c r="AE950" s="113"/>
    </row>
    <row r="951">
      <c r="A951" s="102"/>
      <c r="B951" s="140"/>
      <c r="C951" s="102"/>
      <c r="D951" s="102"/>
      <c r="E951" s="102"/>
      <c r="F951" s="141"/>
      <c r="G951" s="102"/>
      <c r="H951" s="102"/>
      <c r="I951" s="102"/>
      <c r="J951" s="102"/>
      <c r="K951" s="102"/>
      <c r="L951" s="140"/>
      <c r="M951" s="102"/>
      <c r="N951" s="102"/>
      <c r="O951" s="102"/>
      <c r="P951" s="101"/>
      <c r="Q951" s="101"/>
      <c r="R951" s="101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2"/>
      <c r="AC951" s="113"/>
      <c r="AD951" s="113"/>
      <c r="AE951" s="113"/>
    </row>
    <row r="952">
      <c r="A952" s="102"/>
      <c r="B952" s="140"/>
      <c r="C952" s="102"/>
      <c r="D952" s="102"/>
      <c r="E952" s="102"/>
      <c r="F952" s="141"/>
      <c r="G952" s="102"/>
      <c r="H952" s="102"/>
      <c r="I952" s="102"/>
      <c r="J952" s="102"/>
      <c r="K952" s="102"/>
      <c r="L952" s="140"/>
      <c r="M952" s="102"/>
      <c r="N952" s="102"/>
      <c r="O952" s="102"/>
      <c r="P952" s="101"/>
      <c r="Q952" s="101"/>
      <c r="R952" s="101"/>
      <c r="S952" s="102"/>
      <c r="T952" s="102"/>
      <c r="U952" s="102"/>
      <c r="V952" s="102"/>
      <c r="W952" s="102"/>
      <c r="X952" s="102"/>
      <c r="Y952" s="102"/>
      <c r="Z952" s="102"/>
      <c r="AA952" s="102"/>
      <c r="AB952" s="102"/>
      <c r="AC952" s="113"/>
      <c r="AD952" s="113"/>
      <c r="AE952" s="113"/>
    </row>
    <row r="953">
      <c r="A953" s="102"/>
      <c r="B953" s="140"/>
      <c r="C953" s="102"/>
      <c r="D953" s="102"/>
      <c r="E953" s="102"/>
      <c r="F953" s="141"/>
      <c r="G953" s="102"/>
      <c r="H953" s="102"/>
      <c r="I953" s="102"/>
      <c r="J953" s="102"/>
      <c r="K953" s="102"/>
      <c r="L953" s="140"/>
      <c r="M953" s="102"/>
      <c r="N953" s="102"/>
      <c r="O953" s="102"/>
      <c r="P953" s="101"/>
      <c r="Q953" s="101"/>
      <c r="R953" s="101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2"/>
      <c r="AC953" s="113"/>
      <c r="AD953" s="113"/>
      <c r="AE953" s="113"/>
    </row>
    <row r="954">
      <c r="A954" s="102"/>
      <c r="B954" s="140"/>
      <c r="C954" s="102"/>
      <c r="D954" s="102"/>
      <c r="E954" s="102"/>
      <c r="F954" s="141"/>
      <c r="G954" s="102"/>
      <c r="H954" s="102"/>
      <c r="I954" s="102"/>
      <c r="J954" s="102"/>
      <c r="K954" s="102"/>
      <c r="L954" s="140"/>
      <c r="M954" s="102"/>
      <c r="N954" s="102"/>
      <c r="O954" s="102"/>
      <c r="P954" s="101"/>
      <c r="Q954" s="101"/>
      <c r="R954" s="101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2"/>
      <c r="AC954" s="113"/>
      <c r="AD954" s="113"/>
      <c r="AE954" s="113"/>
    </row>
    <row r="955">
      <c r="A955" s="102"/>
      <c r="B955" s="140"/>
      <c r="C955" s="102"/>
      <c r="D955" s="102"/>
      <c r="E955" s="102"/>
      <c r="F955" s="141"/>
      <c r="G955" s="102"/>
      <c r="H955" s="102"/>
      <c r="I955" s="102"/>
      <c r="J955" s="102"/>
      <c r="K955" s="102"/>
      <c r="L955" s="140"/>
      <c r="M955" s="102"/>
      <c r="N955" s="102"/>
      <c r="O955" s="102"/>
      <c r="P955" s="101"/>
      <c r="Q955" s="101"/>
      <c r="R955" s="101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2"/>
      <c r="AC955" s="113"/>
      <c r="AD955" s="113"/>
      <c r="AE955" s="113"/>
    </row>
    <row r="956">
      <c r="A956" s="102"/>
      <c r="B956" s="140"/>
      <c r="C956" s="102"/>
      <c r="D956" s="102"/>
      <c r="E956" s="102"/>
      <c r="F956" s="141"/>
      <c r="G956" s="102"/>
      <c r="H956" s="102"/>
      <c r="I956" s="102"/>
      <c r="J956" s="102"/>
      <c r="K956" s="102"/>
      <c r="L956" s="140"/>
      <c r="M956" s="102"/>
      <c r="N956" s="102"/>
      <c r="O956" s="102"/>
      <c r="P956" s="101"/>
      <c r="Q956" s="101"/>
      <c r="R956" s="101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2"/>
      <c r="AC956" s="113"/>
      <c r="AD956" s="113"/>
      <c r="AE956" s="113"/>
    </row>
    <row r="957">
      <c r="A957" s="102"/>
      <c r="B957" s="140"/>
      <c r="C957" s="102"/>
      <c r="D957" s="102"/>
      <c r="E957" s="102"/>
      <c r="F957" s="141"/>
      <c r="G957" s="102"/>
      <c r="H957" s="102"/>
      <c r="I957" s="102"/>
      <c r="J957" s="102"/>
      <c r="K957" s="102"/>
      <c r="L957" s="140"/>
      <c r="M957" s="102"/>
      <c r="N957" s="102"/>
      <c r="O957" s="102"/>
      <c r="P957" s="101"/>
      <c r="Q957" s="101"/>
      <c r="R957" s="101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2"/>
      <c r="AC957" s="113"/>
      <c r="AD957" s="113"/>
      <c r="AE957" s="113"/>
    </row>
    <row r="958">
      <c r="A958" s="102"/>
      <c r="B958" s="140"/>
      <c r="C958" s="102"/>
      <c r="D958" s="102"/>
      <c r="E958" s="102"/>
      <c r="F958" s="141"/>
      <c r="G958" s="102"/>
      <c r="H958" s="102"/>
      <c r="I958" s="102"/>
      <c r="J958" s="102"/>
      <c r="K958" s="102"/>
      <c r="L958" s="140"/>
      <c r="M958" s="102"/>
      <c r="N958" s="102"/>
      <c r="O958" s="102"/>
      <c r="P958" s="101"/>
      <c r="Q958" s="101"/>
      <c r="R958" s="101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2"/>
      <c r="AC958" s="113"/>
      <c r="AD958" s="113"/>
      <c r="AE958" s="113"/>
    </row>
    <row r="959">
      <c r="A959" s="102"/>
      <c r="B959" s="140"/>
      <c r="C959" s="102"/>
      <c r="D959" s="102"/>
      <c r="E959" s="102"/>
      <c r="F959" s="141"/>
      <c r="G959" s="102"/>
      <c r="H959" s="102"/>
      <c r="I959" s="102"/>
      <c r="J959" s="102"/>
      <c r="K959" s="102"/>
      <c r="L959" s="140"/>
      <c r="M959" s="102"/>
      <c r="N959" s="102"/>
      <c r="O959" s="102"/>
      <c r="P959" s="101"/>
      <c r="Q959" s="101"/>
      <c r="R959" s="101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2"/>
      <c r="AC959" s="113"/>
      <c r="AD959" s="113"/>
      <c r="AE959" s="113"/>
    </row>
    <row r="960">
      <c r="A960" s="102"/>
      <c r="B960" s="140"/>
      <c r="C960" s="102"/>
      <c r="D960" s="102"/>
      <c r="E960" s="102"/>
      <c r="F960" s="141"/>
      <c r="G960" s="102"/>
      <c r="H960" s="102"/>
      <c r="I960" s="102"/>
      <c r="J960" s="102"/>
      <c r="K960" s="102"/>
      <c r="L960" s="140"/>
      <c r="M960" s="102"/>
      <c r="N960" s="102"/>
      <c r="O960" s="102"/>
      <c r="P960" s="101"/>
      <c r="Q960" s="101"/>
      <c r="R960" s="101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  <c r="AC960" s="113"/>
      <c r="AD960" s="113"/>
      <c r="AE960" s="113"/>
    </row>
    <row r="961">
      <c r="A961" s="102"/>
      <c r="B961" s="140"/>
      <c r="C961" s="102"/>
      <c r="D961" s="102"/>
      <c r="E961" s="102"/>
      <c r="F961" s="141"/>
      <c r="G961" s="102"/>
      <c r="H961" s="102"/>
      <c r="I961" s="102"/>
      <c r="J961" s="102"/>
      <c r="K961" s="102"/>
      <c r="L961" s="140"/>
      <c r="M961" s="102"/>
      <c r="N961" s="102"/>
      <c r="O961" s="102"/>
      <c r="P961" s="101"/>
      <c r="Q961" s="101"/>
      <c r="R961" s="101"/>
      <c r="S961" s="102"/>
      <c r="T961" s="102"/>
      <c r="U961" s="102"/>
      <c r="V961" s="102"/>
      <c r="W961" s="102"/>
      <c r="X961" s="102"/>
      <c r="Y961" s="102"/>
      <c r="Z961" s="102"/>
      <c r="AA961" s="102"/>
      <c r="AB961" s="102"/>
      <c r="AC961" s="113"/>
      <c r="AD961" s="113"/>
      <c r="AE961" s="113"/>
    </row>
    <row r="962">
      <c r="A962" s="102"/>
      <c r="B962" s="140"/>
      <c r="C962" s="102"/>
      <c r="D962" s="102"/>
      <c r="E962" s="102"/>
      <c r="F962" s="141"/>
      <c r="G962" s="102"/>
      <c r="H962" s="102"/>
      <c r="I962" s="102"/>
      <c r="J962" s="102"/>
      <c r="K962" s="102"/>
      <c r="L962" s="140"/>
      <c r="M962" s="102"/>
      <c r="N962" s="102"/>
      <c r="O962" s="102"/>
      <c r="P962" s="101"/>
      <c r="Q962" s="101"/>
      <c r="R962" s="101"/>
      <c r="S962" s="102"/>
      <c r="T962" s="102"/>
      <c r="U962" s="102"/>
      <c r="V962" s="102"/>
      <c r="W962" s="102"/>
      <c r="X962" s="102"/>
      <c r="Y962" s="102"/>
      <c r="Z962" s="102"/>
      <c r="AA962" s="102"/>
      <c r="AB962" s="102"/>
      <c r="AC962" s="113"/>
      <c r="AD962" s="113"/>
      <c r="AE962" s="113"/>
    </row>
    <row r="963">
      <c r="A963" s="102"/>
      <c r="B963" s="140"/>
      <c r="C963" s="102"/>
      <c r="D963" s="102"/>
      <c r="E963" s="102"/>
      <c r="F963" s="141"/>
      <c r="G963" s="102"/>
      <c r="H963" s="102"/>
      <c r="I963" s="102"/>
      <c r="J963" s="102"/>
      <c r="K963" s="102"/>
      <c r="L963" s="140"/>
      <c r="M963" s="102"/>
      <c r="N963" s="102"/>
      <c r="O963" s="102"/>
      <c r="P963" s="101"/>
      <c r="Q963" s="101"/>
      <c r="R963" s="101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2"/>
      <c r="AC963" s="113"/>
      <c r="AD963" s="113"/>
      <c r="AE963" s="113"/>
    </row>
    <row r="964">
      <c r="A964" s="102"/>
      <c r="B964" s="140"/>
      <c r="C964" s="102"/>
      <c r="D964" s="102"/>
      <c r="E964" s="102"/>
      <c r="F964" s="141"/>
      <c r="G964" s="102"/>
      <c r="H964" s="102"/>
      <c r="I964" s="102"/>
      <c r="J964" s="102"/>
      <c r="K964" s="102"/>
      <c r="L964" s="140"/>
      <c r="M964" s="102"/>
      <c r="N964" s="102"/>
      <c r="O964" s="102"/>
      <c r="P964" s="101"/>
      <c r="Q964" s="101"/>
      <c r="R964" s="101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2"/>
      <c r="AC964" s="113"/>
      <c r="AD964" s="113"/>
      <c r="AE964" s="113"/>
    </row>
    <row r="965">
      <c r="A965" s="102"/>
      <c r="B965" s="140"/>
      <c r="C965" s="102"/>
      <c r="D965" s="102"/>
      <c r="E965" s="102"/>
      <c r="F965" s="141"/>
      <c r="G965" s="102"/>
      <c r="H965" s="102"/>
      <c r="I965" s="102"/>
      <c r="J965" s="102"/>
      <c r="K965" s="102"/>
      <c r="L965" s="140"/>
      <c r="M965" s="102"/>
      <c r="N965" s="102"/>
      <c r="O965" s="102"/>
      <c r="P965" s="101"/>
      <c r="Q965" s="101"/>
      <c r="R965" s="101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2"/>
      <c r="AC965" s="113"/>
      <c r="AD965" s="113"/>
      <c r="AE965" s="113"/>
    </row>
    <row r="966">
      <c r="A966" s="102"/>
      <c r="B966" s="140"/>
      <c r="C966" s="102"/>
      <c r="D966" s="102"/>
      <c r="E966" s="102"/>
      <c r="F966" s="141"/>
      <c r="G966" s="102"/>
      <c r="H966" s="102"/>
      <c r="I966" s="102"/>
      <c r="J966" s="102"/>
      <c r="K966" s="102"/>
      <c r="L966" s="140"/>
      <c r="M966" s="102"/>
      <c r="N966" s="102"/>
      <c r="O966" s="102"/>
      <c r="P966" s="101"/>
      <c r="Q966" s="101"/>
      <c r="R966" s="101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2"/>
      <c r="AC966" s="113"/>
      <c r="AD966" s="113"/>
      <c r="AE966" s="113"/>
    </row>
    <row r="967">
      <c r="A967" s="102"/>
      <c r="B967" s="140"/>
      <c r="C967" s="102"/>
      <c r="D967" s="102"/>
      <c r="E967" s="102"/>
      <c r="F967" s="141"/>
      <c r="G967" s="102"/>
      <c r="H967" s="102"/>
      <c r="I967" s="102"/>
      <c r="J967" s="102"/>
      <c r="K967" s="102"/>
      <c r="L967" s="140"/>
      <c r="M967" s="102"/>
      <c r="N967" s="102"/>
      <c r="O967" s="102"/>
      <c r="P967" s="101"/>
      <c r="Q967" s="101"/>
      <c r="R967" s="101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2"/>
      <c r="AC967" s="113"/>
      <c r="AD967" s="113"/>
      <c r="AE967" s="113"/>
    </row>
    <row r="968">
      <c r="A968" s="102"/>
      <c r="B968" s="140"/>
      <c r="C968" s="102"/>
      <c r="D968" s="102"/>
      <c r="E968" s="102"/>
      <c r="F968" s="141"/>
      <c r="G968" s="102"/>
      <c r="H968" s="102"/>
      <c r="I968" s="102"/>
      <c r="J968" s="102"/>
      <c r="K968" s="102"/>
      <c r="L968" s="140"/>
      <c r="M968" s="102"/>
      <c r="N968" s="102"/>
      <c r="O968" s="102"/>
      <c r="P968" s="101"/>
      <c r="Q968" s="101"/>
      <c r="R968" s="101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2"/>
      <c r="AC968" s="113"/>
      <c r="AD968" s="113"/>
      <c r="AE968" s="113"/>
    </row>
    <row r="969">
      <c r="A969" s="102"/>
      <c r="B969" s="140"/>
      <c r="C969" s="102"/>
      <c r="D969" s="102"/>
      <c r="E969" s="102"/>
      <c r="F969" s="141"/>
      <c r="G969" s="102"/>
      <c r="H969" s="102"/>
      <c r="I969" s="102"/>
      <c r="J969" s="102"/>
      <c r="K969" s="102"/>
      <c r="L969" s="140"/>
      <c r="M969" s="102"/>
      <c r="N969" s="102"/>
      <c r="O969" s="102"/>
      <c r="P969" s="101"/>
      <c r="Q969" s="101"/>
      <c r="R969" s="101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2"/>
      <c r="AC969" s="113"/>
      <c r="AD969" s="113"/>
      <c r="AE969" s="113"/>
    </row>
    <row r="970">
      <c r="A970" s="102"/>
      <c r="B970" s="140"/>
      <c r="C970" s="102"/>
      <c r="D970" s="102"/>
      <c r="E970" s="102"/>
      <c r="F970" s="141"/>
      <c r="G970" s="102"/>
      <c r="H970" s="102"/>
      <c r="I970" s="102"/>
      <c r="J970" s="102"/>
      <c r="K970" s="102"/>
      <c r="L970" s="140"/>
      <c r="M970" s="102"/>
      <c r="N970" s="102"/>
      <c r="O970" s="102"/>
      <c r="P970" s="101"/>
      <c r="Q970" s="101"/>
      <c r="R970" s="101"/>
      <c r="S970" s="102"/>
      <c r="T970" s="102"/>
      <c r="U970" s="102"/>
      <c r="V970" s="102"/>
      <c r="W970" s="102"/>
      <c r="X970" s="102"/>
      <c r="Y970" s="102"/>
      <c r="Z970" s="102"/>
      <c r="AA970" s="102"/>
      <c r="AB970" s="102"/>
      <c r="AC970" s="113"/>
      <c r="AD970" s="113"/>
      <c r="AE970" s="113"/>
    </row>
    <row r="971">
      <c r="A971" s="102"/>
      <c r="B971" s="140"/>
      <c r="C971" s="102"/>
      <c r="D971" s="102"/>
      <c r="E971" s="102"/>
      <c r="F971" s="141"/>
      <c r="G971" s="102"/>
      <c r="H971" s="102"/>
      <c r="I971" s="102"/>
      <c r="J971" s="102"/>
      <c r="K971" s="102"/>
      <c r="L971" s="140"/>
      <c r="M971" s="102"/>
      <c r="N971" s="102"/>
      <c r="O971" s="102"/>
      <c r="P971" s="101"/>
      <c r="Q971" s="101"/>
      <c r="R971" s="101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2"/>
      <c r="AC971" s="113"/>
      <c r="AD971" s="113"/>
      <c r="AE971" s="113"/>
    </row>
    <row r="972">
      <c r="A972" s="102"/>
      <c r="B972" s="140"/>
      <c r="C972" s="102"/>
      <c r="D972" s="102"/>
      <c r="E972" s="102"/>
      <c r="F972" s="141"/>
      <c r="G972" s="102"/>
      <c r="H972" s="102"/>
      <c r="I972" s="102"/>
      <c r="J972" s="102"/>
      <c r="K972" s="102"/>
      <c r="L972" s="140"/>
      <c r="M972" s="102"/>
      <c r="N972" s="102"/>
      <c r="O972" s="102"/>
      <c r="P972" s="101"/>
      <c r="Q972" s="101"/>
      <c r="R972" s="101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2"/>
      <c r="AC972" s="113"/>
      <c r="AD972" s="113"/>
      <c r="AE972" s="113"/>
    </row>
    <row r="973">
      <c r="A973" s="102"/>
      <c r="B973" s="140"/>
      <c r="C973" s="102"/>
      <c r="D973" s="102"/>
      <c r="E973" s="102"/>
      <c r="F973" s="141"/>
      <c r="G973" s="102"/>
      <c r="H973" s="102"/>
      <c r="I973" s="102"/>
      <c r="J973" s="102"/>
      <c r="K973" s="102"/>
      <c r="L973" s="140"/>
      <c r="M973" s="102"/>
      <c r="N973" s="102"/>
      <c r="O973" s="102"/>
      <c r="P973" s="101"/>
      <c r="Q973" s="101"/>
      <c r="R973" s="101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13"/>
      <c r="AD973" s="113"/>
      <c r="AE973" s="113"/>
    </row>
    <row r="974">
      <c r="A974" s="102"/>
      <c r="B974" s="140"/>
      <c r="C974" s="102"/>
      <c r="D974" s="102"/>
      <c r="E974" s="102"/>
      <c r="F974" s="141"/>
      <c r="G974" s="102"/>
      <c r="H974" s="102"/>
      <c r="I974" s="102"/>
      <c r="J974" s="102"/>
      <c r="K974" s="102"/>
      <c r="L974" s="140"/>
      <c r="M974" s="102"/>
      <c r="N974" s="102"/>
      <c r="O974" s="102"/>
      <c r="P974" s="101"/>
      <c r="Q974" s="101"/>
      <c r="R974" s="101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2"/>
      <c r="AC974" s="113"/>
      <c r="AD974" s="113"/>
      <c r="AE974" s="113"/>
    </row>
    <row r="975">
      <c r="A975" s="102"/>
      <c r="B975" s="140"/>
      <c r="C975" s="102"/>
      <c r="D975" s="102"/>
      <c r="E975" s="102"/>
      <c r="F975" s="141"/>
      <c r="G975" s="102"/>
      <c r="H975" s="102"/>
      <c r="I975" s="102"/>
      <c r="J975" s="102"/>
      <c r="K975" s="102"/>
      <c r="L975" s="140"/>
      <c r="M975" s="102"/>
      <c r="N975" s="102"/>
      <c r="O975" s="102"/>
      <c r="P975" s="101"/>
      <c r="Q975" s="101"/>
      <c r="R975" s="101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2"/>
      <c r="AC975" s="113"/>
      <c r="AD975" s="113"/>
      <c r="AE975" s="113"/>
    </row>
    <row r="976">
      <c r="A976" s="102"/>
      <c r="B976" s="140"/>
      <c r="C976" s="102"/>
      <c r="D976" s="102"/>
      <c r="E976" s="102"/>
      <c r="F976" s="141"/>
      <c r="G976" s="102"/>
      <c r="H976" s="102"/>
      <c r="I976" s="102"/>
      <c r="J976" s="102"/>
      <c r="K976" s="102"/>
      <c r="L976" s="140"/>
      <c r="M976" s="102"/>
      <c r="N976" s="102"/>
      <c r="O976" s="102"/>
      <c r="P976" s="101"/>
      <c r="Q976" s="101"/>
      <c r="R976" s="101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2"/>
      <c r="AC976" s="113"/>
      <c r="AD976" s="113"/>
      <c r="AE976" s="113"/>
    </row>
    <row r="977">
      <c r="A977" s="102"/>
      <c r="B977" s="140"/>
      <c r="C977" s="102"/>
      <c r="D977" s="102"/>
      <c r="E977" s="102"/>
      <c r="F977" s="141"/>
      <c r="G977" s="102"/>
      <c r="H977" s="102"/>
      <c r="I977" s="102"/>
      <c r="J977" s="102"/>
      <c r="K977" s="102"/>
      <c r="L977" s="140"/>
      <c r="M977" s="102"/>
      <c r="N977" s="102"/>
      <c r="O977" s="102"/>
      <c r="P977" s="101"/>
      <c r="Q977" s="101"/>
      <c r="R977" s="101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2"/>
      <c r="AC977" s="113"/>
      <c r="AD977" s="113"/>
      <c r="AE977" s="113"/>
    </row>
    <row r="978">
      <c r="A978" s="102"/>
      <c r="B978" s="140"/>
      <c r="C978" s="102"/>
      <c r="D978" s="102"/>
      <c r="E978" s="102"/>
      <c r="F978" s="141"/>
      <c r="G978" s="102"/>
      <c r="H978" s="102"/>
      <c r="I978" s="102"/>
      <c r="J978" s="102"/>
      <c r="K978" s="102"/>
      <c r="L978" s="140"/>
      <c r="M978" s="102"/>
      <c r="N978" s="102"/>
      <c r="O978" s="102"/>
      <c r="P978" s="101"/>
      <c r="Q978" s="101"/>
      <c r="R978" s="101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  <c r="AC978" s="113"/>
      <c r="AD978" s="113"/>
      <c r="AE978" s="113"/>
    </row>
    <row r="979">
      <c r="A979" s="102"/>
      <c r="B979" s="140"/>
      <c r="C979" s="102"/>
      <c r="D979" s="102"/>
      <c r="E979" s="102"/>
      <c r="F979" s="141"/>
      <c r="G979" s="102"/>
      <c r="H979" s="102"/>
      <c r="I979" s="102"/>
      <c r="J979" s="102"/>
      <c r="K979" s="102"/>
      <c r="L979" s="140"/>
      <c r="M979" s="102"/>
      <c r="N979" s="102"/>
      <c r="O979" s="102"/>
      <c r="P979" s="101"/>
      <c r="Q979" s="101"/>
      <c r="R979" s="101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2"/>
      <c r="AC979" s="113"/>
      <c r="AD979" s="113"/>
      <c r="AE979" s="113"/>
    </row>
    <row r="980">
      <c r="A980" s="102"/>
      <c r="B980" s="140"/>
      <c r="C980" s="102"/>
      <c r="D980" s="102"/>
      <c r="E980" s="102"/>
      <c r="F980" s="141"/>
      <c r="G980" s="102"/>
      <c r="H980" s="102"/>
      <c r="I980" s="102"/>
      <c r="J980" s="102"/>
      <c r="K980" s="102"/>
      <c r="L980" s="140"/>
      <c r="M980" s="102"/>
      <c r="N980" s="102"/>
      <c r="O980" s="102"/>
      <c r="P980" s="101"/>
      <c r="Q980" s="101"/>
      <c r="R980" s="101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  <c r="AC980" s="113"/>
      <c r="AD980" s="113"/>
      <c r="AE980" s="113"/>
    </row>
    <row r="981">
      <c r="A981" s="102"/>
      <c r="B981" s="140"/>
      <c r="C981" s="102"/>
      <c r="D981" s="102"/>
      <c r="E981" s="102"/>
      <c r="F981" s="141"/>
      <c r="G981" s="102"/>
      <c r="H981" s="102"/>
      <c r="I981" s="102"/>
      <c r="J981" s="102"/>
      <c r="K981" s="102"/>
      <c r="L981" s="140"/>
      <c r="M981" s="102"/>
      <c r="N981" s="102"/>
      <c r="O981" s="102"/>
      <c r="P981" s="101"/>
      <c r="Q981" s="101"/>
      <c r="R981" s="101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2"/>
      <c r="AC981" s="113"/>
      <c r="AD981" s="113"/>
      <c r="AE981" s="113"/>
    </row>
    <row r="982">
      <c r="A982" s="102"/>
      <c r="B982" s="140"/>
      <c r="C982" s="102"/>
      <c r="D982" s="102"/>
      <c r="E982" s="102"/>
      <c r="F982" s="141"/>
      <c r="G982" s="102"/>
      <c r="H982" s="102"/>
      <c r="I982" s="102"/>
      <c r="J982" s="102"/>
      <c r="K982" s="102"/>
      <c r="L982" s="140"/>
      <c r="M982" s="102"/>
      <c r="N982" s="102"/>
      <c r="O982" s="102"/>
      <c r="P982" s="101"/>
      <c r="Q982" s="101"/>
      <c r="R982" s="101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2"/>
      <c r="AC982" s="113"/>
      <c r="AD982" s="113"/>
      <c r="AE982" s="113"/>
    </row>
    <row r="983">
      <c r="A983" s="102"/>
      <c r="B983" s="140"/>
      <c r="C983" s="102"/>
      <c r="D983" s="102"/>
      <c r="E983" s="102"/>
      <c r="F983" s="141"/>
      <c r="G983" s="102"/>
      <c r="H983" s="102"/>
      <c r="I983" s="102"/>
      <c r="J983" s="102"/>
      <c r="K983" s="102"/>
      <c r="L983" s="140"/>
      <c r="M983" s="102"/>
      <c r="N983" s="102"/>
      <c r="O983" s="102"/>
      <c r="P983" s="101"/>
      <c r="Q983" s="101"/>
      <c r="R983" s="101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2"/>
      <c r="AC983" s="113"/>
      <c r="AD983" s="113"/>
      <c r="AE983" s="113"/>
    </row>
    <row r="984">
      <c r="A984" s="102"/>
      <c r="B984" s="140"/>
      <c r="C984" s="102"/>
      <c r="D984" s="102"/>
      <c r="E984" s="102"/>
      <c r="F984" s="141"/>
      <c r="G984" s="102"/>
      <c r="H984" s="102"/>
      <c r="I984" s="102"/>
      <c r="J984" s="102"/>
      <c r="K984" s="102"/>
      <c r="L984" s="140"/>
      <c r="M984" s="102"/>
      <c r="N984" s="102"/>
      <c r="O984" s="102"/>
      <c r="P984" s="101"/>
      <c r="Q984" s="101"/>
      <c r="R984" s="101"/>
      <c r="S984" s="102"/>
      <c r="T984" s="102"/>
      <c r="U984" s="102"/>
      <c r="V984" s="102"/>
      <c r="W984" s="102"/>
      <c r="X984" s="102"/>
      <c r="Y984" s="102"/>
      <c r="Z984" s="102"/>
      <c r="AA984" s="102"/>
      <c r="AB984" s="102"/>
      <c r="AC984" s="113"/>
      <c r="AD984" s="113"/>
      <c r="AE984" s="113"/>
    </row>
    <row r="985">
      <c r="A985" s="102"/>
      <c r="B985" s="140"/>
      <c r="C985" s="102"/>
      <c r="D985" s="102"/>
      <c r="E985" s="102"/>
      <c r="F985" s="141"/>
      <c r="G985" s="102"/>
      <c r="H985" s="102"/>
      <c r="I985" s="102"/>
      <c r="J985" s="102"/>
      <c r="K985" s="102"/>
      <c r="L985" s="140"/>
      <c r="M985" s="102"/>
      <c r="N985" s="102"/>
      <c r="O985" s="102"/>
      <c r="P985" s="101"/>
      <c r="Q985" s="101"/>
      <c r="R985" s="101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2"/>
      <c r="AC985" s="113"/>
      <c r="AD985" s="113"/>
      <c r="AE985" s="113"/>
    </row>
    <row r="986">
      <c r="A986" s="102"/>
      <c r="B986" s="140"/>
      <c r="C986" s="102"/>
      <c r="D986" s="102"/>
      <c r="E986" s="102"/>
      <c r="F986" s="141"/>
      <c r="G986" s="102"/>
      <c r="H986" s="102"/>
      <c r="I986" s="102"/>
      <c r="J986" s="102"/>
      <c r="K986" s="102"/>
      <c r="L986" s="140"/>
      <c r="M986" s="102"/>
      <c r="N986" s="102"/>
      <c r="O986" s="102"/>
      <c r="P986" s="101"/>
      <c r="Q986" s="101"/>
      <c r="R986" s="101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2"/>
      <c r="AC986" s="113"/>
      <c r="AD986" s="113"/>
      <c r="AE986" s="113"/>
    </row>
    <row r="987">
      <c r="A987" s="102"/>
      <c r="B987" s="140"/>
      <c r="C987" s="102"/>
      <c r="D987" s="102"/>
      <c r="E987" s="102"/>
      <c r="F987" s="141"/>
      <c r="G987" s="102"/>
      <c r="H987" s="102"/>
      <c r="I987" s="102"/>
      <c r="J987" s="102"/>
      <c r="K987" s="102"/>
      <c r="L987" s="140"/>
      <c r="M987" s="102"/>
      <c r="N987" s="102"/>
      <c r="O987" s="102"/>
      <c r="P987" s="101"/>
      <c r="Q987" s="101"/>
      <c r="R987" s="101"/>
      <c r="S987" s="102"/>
      <c r="T987" s="102"/>
      <c r="U987" s="102"/>
      <c r="V987" s="102"/>
      <c r="W987" s="102"/>
      <c r="X987" s="102"/>
      <c r="Y987" s="102"/>
      <c r="Z987" s="102"/>
      <c r="AA987" s="102"/>
      <c r="AB987" s="102"/>
      <c r="AC987" s="113"/>
      <c r="AD987" s="113"/>
      <c r="AE987" s="113"/>
    </row>
    <row r="988">
      <c r="A988" s="102"/>
      <c r="B988" s="140"/>
      <c r="C988" s="102"/>
      <c r="D988" s="102"/>
      <c r="E988" s="102"/>
      <c r="F988" s="141"/>
      <c r="G988" s="102"/>
      <c r="H988" s="102"/>
      <c r="I988" s="102"/>
      <c r="J988" s="102"/>
      <c r="K988" s="102"/>
      <c r="L988" s="140"/>
      <c r="M988" s="102"/>
      <c r="N988" s="102"/>
      <c r="O988" s="102"/>
      <c r="P988" s="101"/>
      <c r="Q988" s="101"/>
      <c r="R988" s="101"/>
      <c r="S988" s="102"/>
      <c r="T988" s="102"/>
      <c r="U988" s="102"/>
      <c r="V988" s="102"/>
      <c r="W988" s="102"/>
      <c r="X988" s="102"/>
      <c r="Y988" s="102"/>
      <c r="Z988" s="102"/>
      <c r="AA988" s="102"/>
      <c r="AB988" s="102"/>
      <c r="AC988" s="113"/>
      <c r="AD988" s="113"/>
      <c r="AE988" s="113"/>
    </row>
    <row r="989">
      <c r="A989" s="102"/>
      <c r="B989" s="140"/>
      <c r="C989" s="102"/>
      <c r="D989" s="102"/>
      <c r="E989" s="102"/>
      <c r="F989" s="141"/>
      <c r="G989" s="102"/>
      <c r="H989" s="102"/>
      <c r="I989" s="102"/>
      <c r="J989" s="102"/>
      <c r="K989" s="102"/>
      <c r="L989" s="140"/>
      <c r="M989" s="102"/>
      <c r="N989" s="102"/>
      <c r="O989" s="102"/>
      <c r="P989" s="101"/>
      <c r="Q989" s="101"/>
      <c r="R989" s="101"/>
      <c r="S989" s="102"/>
      <c r="T989" s="102"/>
      <c r="U989" s="102"/>
      <c r="V989" s="102"/>
      <c r="W989" s="102"/>
      <c r="X989" s="102"/>
      <c r="Y989" s="102"/>
      <c r="Z989" s="102"/>
      <c r="AA989" s="102"/>
      <c r="AB989" s="102"/>
      <c r="AC989" s="113"/>
      <c r="AD989" s="113"/>
      <c r="AE989" s="113"/>
    </row>
    <row r="990">
      <c r="A990" s="102"/>
      <c r="B990" s="140"/>
      <c r="C990" s="102"/>
      <c r="D990" s="102"/>
      <c r="E990" s="102"/>
      <c r="F990" s="141"/>
      <c r="G990" s="102"/>
      <c r="H990" s="102"/>
      <c r="I990" s="102"/>
      <c r="J990" s="102"/>
      <c r="K990" s="102"/>
      <c r="L990" s="140"/>
      <c r="M990" s="102"/>
      <c r="N990" s="102"/>
      <c r="O990" s="102"/>
      <c r="P990" s="101"/>
      <c r="Q990" s="101"/>
      <c r="R990" s="101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13"/>
      <c r="AD990" s="113"/>
      <c r="AE990" s="113"/>
    </row>
    <row r="991">
      <c r="A991" s="102"/>
      <c r="B991" s="140"/>
      <c r="C991" s="102"/>
      <c r="D991" s="102"/>
      <c r="E991" s="102"/>
      <c r="F991" s="141"/>
      <c r="G991" s="102"/>
      <c r="H991" s="102"/>
      <c r="I991" s="102"/>
      <c r="J991" s="102"/>
      <c r="K991" s="102"/>
      <c r="L991" s="140"/>
      <c r="M991" s="102"/>
      <c r="N991" s="102"/>
      <c r="O991" s="102"/>
      <c r="P991" s="101"/>
      <c r="Q991" s="101"/>
      <c r="R991" s="101"/>
      <c r="S991" s="102"/>
      <c r="T991" s="102"/>
      <c r="U991" s="102"/>
      <c r="V991" s="102"/>
      <c r="W991" s="102"/>
      <c r="X991" s="102"/>
      <c r="Y991" s="102"/>
      <c r="Z991" s="102"/>
      <c r="AA991" s="102"/>
      <c r="AB991" s="102"/>
      <c r="AC991" s="113"/>
      <c r="AD991" s="113"/>
      <c r="AE991" s="113"/>
    </row>
    <row r="992">
      <c r="A992" s="102"/>
      <c r="B992" s="140"/>
      <c r="C992" s="102"/>
      <c r="D992" s="102"/>
      <c r="E992" s="102"/>
      <c r="F992" s="141"/>
      <c r="G992" s="102"/>
      <c r="H992" s="102"/>
      <c r="I992" s="102"/>
      <c r="J992" s="102"/>
      <c r="K992" s="102"/>
      <c r="L992" s="140"/>
      <c r="M992" s="102"/>
      <c r="N992" s="102"/>
      <c r="O992" s="102"/>
      <c r="P992" s="101"/>
      <c r="Q992" s="101"/>
      <c r="R992" s="101"/>
      <c r="S992" s="102"/>
      <c r="T992" s="102"/>
      <c r="U992" s="102"/>
      <c r="V992" s="102"/>
      <c r="W992" s="102"/>
      <c r="X992" s="102"/>
      <c r="Y992" s="102"/>
      <c r="Z992" s="102"/>
      <c r="AA992" s="102"/>
      <c r="AB992" s="102"/>
      <c r="AC992" s="113"/>
      <c r="AD992" s="113"/>
      <c r="AE992" s="113"/>
    </row>
    <row r="993">
      <c r="A993" s="102"/>
      <c r="B993" s="140"/>
      <c r="C993" s="102"/>
      <c r="D993" s="102"/>
      <c r="E993" s="102"/>
      <c r="F993" s="141"/>
      <c r="G993" s="102"/>
      <c r="H993" s="102"/>
      <c r="I993" s="102"/>
      <c r="J993" s="102"/>
      <c r="K993" s="102"/>
      <c r="L993" s="140"/>
      <c r="M993" s="102"/>
      <c r="N993" s="102"/>
      <c r="O993" s="102"/>
      <c r="P993" s="101"/>
      <c r="Q993" s="101"/>
      <c r="R993" s="101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2"/>
      <c r="AC993" s="113"/>
      <c r="AD993" s="113"/>
      <c r="AE993" s="113"/>
    </row>
    <row r="994">
      <c r="A994" s="102"/>
      <c r="B994" s="140"/>
      <c r="C994" s="102"/>
      <c r="D994" s="102"/>
      <c r="E994" s="102"/>
      <c r="F994" s="141"/>
      <c r="G994" s="102"/>
      <c r="H994" s="102"/>
      <c r="I994" s="102"/>
      <c r="J994" s="102"/>
      <c r="K994" s="102"/>
      <c r="L994" s="140"/>
      <c r="M994" s="102"/>
      <c r="N994" s="102"/>
      <c r="O994" s="102"/>
      <c r="P994" s="101"/>
      <c r="Q994" s="101"/>
      <c r="R994" s="101"/>
      <c r="S994" s="102"/>
      <c r="T994" s="102"/>
      <c r="U994" s="102"/>
      <c r="V994" s="102"/>
      <c r="W994" s="102"/>
      <c r="X994" s="102"/>
      <c r="Y994" s="102"/>
      <c r="Z994" s="102"/>
      <c r="AA994" s="102"/>
      <c r="AB994" s="102"/>
      <c r="AC994" s="113"/>
      <c r="AD994" s="113"/>
      <c r="AE994" s="113"/>
    </row>
  </sheetData>
  <mergeCells count="2">
    <mergeCell ref="R95:S95"/>
    <mergeCell ref="Q315:R3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6.86"/>
    <col customWidth="1" min="6" max="6" width="30.71"/>
    <col customWidth="1" min="7" max="7" width="17.0"/>
  </cols>
  <sheetData>
    <row r="1">
      <c r="A1" s="143" t="s">
        <v>6656</v>
      </c>
      <c r="B1" s="78">
        <v>0.3</v>
      </c>
      <c r="D1" s="143" t="s">
        <v>6657</v>
      </c>
      <c r="E1" s="143" t="s">
        <v>6658</v>
      </c>
      <c r="F1" s="143" t="s">
        <v>6659</v>
      </c>
      <c r="G1" s="143" t="s">
        <v>6660</v>
      </c>
    </row>
    <row r="2">
      <c r="A2" s="143" t="s">
        <v>6661</v>
      </c>
      <c r="B2" s="78">
        <v>0.45</v>
      </c>
      <c r="D2" s="78" t="s">
        <v>2210</v>
      </c>
      <c r="E2" s="144" t="s">
        <v>6662</v>
      </c>
      <c r="F2" s="145" t="str">
        <f t="array" ref="F2">IFERROR(PROPER(CONCATENATE(MID(E2,LEN(E2)-ROW(INDIRECT("1:"&amp;LEN(E2)))+1,1))),"")</f>
        <v>תג-תילק</v>
      </c>
      <c r="G2" s="146" t="s">
        <v>6663</v>
      </c>
    </row>
    <row r="3">
      <c r="D3" s="78" t="s">
        <v>1790</v>
      </c>
      <c r="E3" s="145" t="s">
        <v>1789</v>
      </c>
      <c r="F3" s="145" t="str">
        <f t="array" ref="F3">IFERROR(PROPER(CONCATENATE(MID(E3,LEN(E3)-ROW(INDIRECT("1:"&amp;LEN(E3)))+1,1))),"")</f>
        <v>ביטה</v>
      </c>
      <c r="G3" s="147"/>
    </row>
    <row r="4">
      <c r="F4" s="145" t="str">
        <f t="array" ref="F4">IFERROR(PROPER(CONCATENATE(MID(E4,LEN(E4)-ROW(INDIRECT("1:"&amp;LEN(E4)))+1,1))),"")</f>
        <v/>
      </c>
      <c r="G4" s="147"/>
    </row>
    <row r="5">
      <c r="D5" s="78" t="s">
        <v>4339</v>
      </c>
      <c r="E5" s="145" t="s">
        <v>4338</v>
      </c>
      <c r="F5" s="145" t="str">
        <f t="array" ref="F5">IFERROR(PROPER(CONCATENATE(MID(E5,LEN(E5)-ROW(INDIRECT("1:"&amp;LEN(E5)))+1,1))),"")</f>
        <v>סרדיינס</v>
      </c>
      <c r="G5" s="146" t="s">
        <v>32</v>
      </c>
    </row>
    <row r="6">
      <c r="D6" s="78" t="s">
        <v>3558</v>
      </c>
      <c r="E6" s="145" t="s">
        <v>1413</v>
      </c>
      <c r="F6" s="145" t="str">
        <f t="array" ref="F6">IFERROR(PROPER(CONCATENATE(MID(E6,LEN(E6)-ROW(INDIRECT("1:"&amp;LEN(E6)))+1,1))),"")</f>
        <v>הלגייב</v>
      </c>
      <c r="G6" s="147"/>
    </row>
    <row r="7">
      <c r="D7" s="78" t="s">
        <v>1416</v>
      </c>
      <c r="E7" s="144" t="s">
        <v>1408</v>
      </c>
      <c r="F7" s="145" t="str">
        <f t="array" ref="F7">IFERROR(PROPER(CONCATENATE(MID(E7,LEN(E7)-ROW(INDIRECT("1:"&amp;LEN(E7)))+1,1))),"")</f>
        <v>זפילפ</v>
      </c>
      <c r="G7" s="147"/>
    </row>
    <row r="8">
      <c r="D8" s="78" t="s">
        <v>3114</v>
      </c>
      <c r="E8" s="144" t="s">
        <v>3113</v>
      </c>
      <c r="F8" s="145" t="str">
        <f t="array" ref="F8">IFERROR(PROPER(CONCATENATE(MID(E8,LEN(E8)-ROW(INDIRECT("1:"&amp;LEN(E8)))+1,1))),"")</f>
        <v>םישונשנ</v>
      </c>
      <c r="G8" s="147"/>
    </row>
    <row r="9">
      <c r="D9" s="78" t="s">
        <v>24</v>
      </c>
      <c r="E9" s="145" t="s">
        <v>23</v>
      </c>
      <c r="F9" s="145" t="str">
        <f t="array" ref="F9">IFERROR(PROPER(CONCATENATE(MID(E9,LEN(E9)-ROW(INDIRECT("1:"&amp;LEN(E9)))+1,1))),"")</f>
        <v>ידאבע</v>
      </c>
      <c r="G9" s="147"/>
    </row>
    <row r="10">
      <c r="F10" s="145" t="str">
        <f t="array" ref="F10">IFERROR(PROPER(CONCATENATE(MID(E10,LEN(E10)-ROW(INDIRECT("1:"&amp;LEN(E10)))+1,1))),"")</f>
        <v/>
      </c>
      <c r="G10" s="147"/>
    </row>
    <row r="11">
      <c r="D11" s="78" t="s">
        <v>2048</v>
      </c>
      <c r="E11" s="145" t="s">
        <v>2047</v>
      </c>
      <c r="F11" s="145" t="str">
        <f t="array" ref="F11">IFERROR(PROPER(CONCATENATE(MID(E11,LEN(E11)-ROW(INDIRECT("1:"&amp;LEN(E11)))+1,1))),"")</f>
        <v>ילפיכ</v>
      </c>
      <c r="G11" s="146" t="s">
        <v>6664</v>
      </c>
    </row>
    <row r="12">
      <c r="D12" s="78" t="s">
        <v>1090</v>
      </c>
      <c r="E12" s="144" t="s">
        <v>1089</v>
      </c>
      <c r="F12" s="145" t="str">
        <f t="array" ref="F12">IFERROR(PROPER(CONCATENATE(MID(E12,LEN(E12)-ROW(INDIRECT("1:"&amp;LEN(E12)))+1,1))),"")</f>
        <v>סוטירוד</v>
      </c>
      <c r="G12" s="147"/>
    </row>
    <row r="13">
      <c r="D13" s="78" t="s">
        <v>1128</v>
      </c>
      <c r="E13" s="144" t="s">
        <v>1127</v>
      </c>
      <c r="F13" s="145" t="str">
        <f t="array" ref="F13">IFERROR(PROPER(CONCATENATE(MID(E13,LEN(E13)-ROW(INDIRECT("1:"&amp;LEN(E13)))+1,1))),"")</f>
        <v>םינובוד</v>
      </c>
      <c r="G13" s="147"/>
    </row>
    <row r="14">
      <c r="D14" s="78" t="s">
        <v>371</v>
      </c>
      <c r="E14" s="145" t="s">
        <v>370</v>
      </c>
      <c r="F14" s="145" t="str">
        <f t="array" ref="F14">IFERROR(PROPER(CONCATENATE(MID(E14,LEN(E14)-ROW(INDIRECT("1:"&amp;LEN(E14)))+1,1))),"")</f>
        <v>ילסיב</v>
      </c>
      <c r="G14" s="147"/>
    </row>
    <row r="15">
      <c r="D15" s="78" t="s">
        <v>4562</v>
      </c>
      <c r="E15" s="144" t="s">
        <v>4595</v>
      </c>
      <c r="F15" s="145" t="str">
        <f t="array" ref="F15">IFERROR(PROPER(CONCATENATE(MID(E15,LEN(E15)-ROW(INDIRECT("1:"&amp;LEN(E15)))+1,1))),"")</f>
        <v>ספיצופת</v>
      </c>
      <c r="G15" s="147"/>
    </row>
    <row r="16">
      <c r="D16" s="78" t="s">
        <v>599</v>
      </c>
      <c r="E16" s="144" t="s">
        <v>598</v>
      </c>
      <c r="F16" s="145" t="str">
        <f t="array" ref="F16">IFERROR(PROPER(CONCATENATE(MID(E16,LEN(E16)-ROW(INDIRECT("1:"&amp;LEN(E16)))+1,1))),"")</f>
        <v>סוטיצ</v>
      </c>
      <c r="G16" s="147"/>
    </row>
    <row r="17">
      <c r="D17" s="78" t="s">
        <v>246</v>
      </c>
      <c r="E17" s="144" t="s">
        <v>245</v>
      </c>
      <c r="F17" s="145" t="str">
        <f t="array" ref="F17">IFERROR(PROPER(CONCATENATE(MID(E17,LEN(E17)-ROW(INDIRECT("1:"&amp;LEN(E17)))+1,1))),"")</f>
        <v>הבמב</v>
      </c>
      <c r="G17" s="147"/>
    </row>
    <row r="18">
      <c r="D18" s="78" t="s">
        <v>105</v>
      </c>
      <c r="E18" s="144" t="s">
        <v>104</v>
      </c>
      <c r="F18" s="145" t="str">
        <f t="array" ref="F18">IFERROR(PROPER(CONCATENATE(MID(E18,LEN(E18)-ROW(INDIRECT("1:"&amp;LEN(E18)))+1,1))),"")</f>
        <v>ופורפא</v>
      </c>
      <c r="G18" s="147"/>
    </row>
    <row r="19">
      <c r="D19" s="78" t="s">
        <v>3863</v>
      </c>
      <c r="E19" s="145" t="s">
        <v>3862</v>
      </c>
      <c r="F19" s="145" t="str">
        <f t="array" ref="F19">IFERROR(PROPER(CONCATENATE(MID(E19,LEN(E19)-ROW(INDIRECT("1:"&amp;LEN(E19)))+1,1))),"")</f>
        <v>סלגנירפ</v>
      </c>
      <c r="G19" s="147"/>
    </row>
    <row r="20">
      <c r="D20" s="78" t="s">
        <v>4487</v>
      </c>
      <c r="E20" s="148" t="s">
        <v>4486</v>
      </c>
      <c r="F20" s="145" t="str">
        <f t="array" ref="F20">IFERROR(PROPER(CONCATENATE(MID(E20,LEN(E20)-ROW(INDIRECT("1:"&amp;LEN(E20)))+1,1))),"")</f>
        <v>סקאטס</v>
      </c>
      <c r="G20" s="147"/>
    </row>
    <row r="21">
      <c r="D21" s="78" t="s">
        <v>3528</v>
      </c>
      <c r="E21" s="145" t="s">
        <v>3521</v>
      </c>
      <c r="F21" s="145" t="str">
        <f t="array" ref="F21">IFERROR(PROPER(CONCATENATE(MID(E21,LEN(E21)-ROW(INDIRECT("1:"&amp;LEN(E21)))+1,1))),"")</f>
        <v>ןרוקפופ</v>
      </c>
      <c r="G21" s="147"/>
    </row>
    <row r="22">
      <c r="D22" s="78" t="s">
        <v>6082</v>
      </c>
      <c r="E22" s="145" t="s">
        <v>3530</v>
      </c>
      <c r="F22" s="145" t="str">
        <f t="array" ref="F22">IFERROR(PROPER(CONCATENATE(MID(E22,LEN(E22)-ROW(INDIRECT("1:"&amp;LEN(E22)))+1,1))),"")</f>
        <v>וקפופ</v>
      </c>
      <c r="G22" s="147"/>
    </row>
    <row r="23">
      <c r="D23" s="78" t="s">
        <v>1391</v>
      </c>
      <c r="E23" s="144" t="s">
        <v>1390</v>
      </c>
      <c r="F23" s="145" t="str">
        <f t="array" ref="F23">IFERROR(PROPER(CONCATENATE(MID(E23,LEN(E23)-ROW(INDIRECT("1:"&amp;LEN(E23)))+1,1))),"")</f>
        <v>סנטיפ</v>
      </c>
      <c r="G23" s="147"/>
    </row>
    <row r="24">
      <c r="F24" s="145" t="str">
        <f t="array" ref="F24">IFERROR(PROPER(CONCATENATE(MID(E24,LEN(E24)-ROW(INDIRECT("1:"&amp;LEN(E24)))+1,1))),"")</f>
        <v/>
      </c>
      <c r="G24" s="147"/>
    </row>
    <row r="25">
      <c r="F25" s="145" t="str">
        <f t="array" ref="F25">IFERROR(PROPER(CONCATENATE(MID(E25,LEN(E25)-ROW(INDIRECT("1:"&amp;LEN(E25)))+1,1))),"")</f>
        <v/>
      </c>
      <c r="G25" s="147"/>
    </row>
    <row r="26">
      <c r="F26" s="145" t="str">
        <f t="array" ref="F26">IFERROR(PROPER(CONCATENATE(MID(E26,LEN(E26)-ROW(INDIRECT("1:"&amp;LEN(E26)))+1,1))),"")</f>
        <v/>
      </c>
      <c r="G26" s="147"/>
    </row>
    <row r="27">
      <c r="F27" s="145" t="str">
        <f t="array" ref="F27">IFERROR(PROPER(CONCATENATE(MID(E27,LEN(E27)-ROW(INDIRECT("1:"&amp;LEN(E27)))+1,1))),"")</f>
        <v/>
      </c>
      <c r="G27" s="147"/>
    </row>
    <row r="28">
      <c r="F28" s="145" t="str">
        <f t="array" ref="F28">IFERROR(PROPER(CONCATENATE(MID(E28,LEN(E28)-ROW(INDIRECT("1:"&amp;LEN(E28)))+1,1))),"")</f>
        <v/>
      </c>
      <c r="G28" s="147"/>
    </row>
    <row r="29">
      <c r="F29" s="145" t="str">
        <f t="array" ref="F29">IFERROR(PROPER(CONCATENATE(MID(E29,LEN(E29)-ROW(INDIRECT("1:"&amp;LEN(E29)))+1,1))),"")</f>
        <v/>
      </c>
      <c r="G29" s="147"/>
    </row>
    <row r="30">
      <c r="F30" s="145" t="str">
        <f t="array" ref="F30">IFERROR(PROPER(CONCATENATE(MID(E30,LEN(E30)-ROW(INDIRECT("1:"&amp;LEN(E30)))+1,1))),"")</f>
        <v/>
      </c>
      <c r="G30" s="147"/>
    </row>
    <row r="31">
      <c r="F31" s="145" t="str">
        <f t="array" ref="F31">IFERROR(PROPER(CONCATENATE(MID(E31,LEN(E31)-ROW(INDIRECT("1:"&amp;LEN(E31)))+1,1))),"")</f>
        <v/>
      </c>
      <c r="G31" s="147"/>
    </row>
    <row r="32">
      <c r="F32" s="145" t="str">
        <f t="array" ref="F32">IFERROR(PROPER(CONCATENATE(MID(E32,LEN(E32)-ROW(INDIRECT("1:"&amp;LEN(E32)))+1,1))),"")</f>
        <v/>
      </c>
      <c r="G32" s="147"/>
    </row>
    <row r="33">
      <c r="F33" s="145" t="str">
        <f t="array" ref="F33">IFERROR(PROPER(CONCATENATE(MID(E33,LEN(E33)-ROW(INDIRECT("1:"&amp;LEN(E33)))+1,1))),"")</f>
        <v/>
      </c>
      <c r="G33" s="147"/>
    </row>
    <row r="34">
      <c r="F34" s="145" t="str">
        <f t="array" ref="F34">IFERROR(PROPER(CONCATENATE(MID(E34,LEN(E34)-ROW(INDIRECT("1:"&amp;LEN(E34)))+1,1))),"")</f>
        <v/>
      </c>
      <c r="G34" s="147"/>
    </row>
    <row r="35">
      <c r="F35" s="145" t="str">
        <f t="array" ref="F35">IFERROR(PROPER(CONCATENATE(MID(E35,LEN(E35)-ROW(INDIRECT("1:"&amp;LEN(E35)))+1,1))),"")</f>
        <v/>
      </c>
      <c r="G35" s="147"/>
    </row>
    <row r="36">
      <c r="F36" s="145" t="str">
        <f t="array" ref="F36">IFERROR(PROPER(CONCATENATE(MID(E36,LEN(E36)-ROW(INDIRECT("1:"&amp;LEN(E36)))+1,1))),"")</f>
        <v/>
      </c>
      <c r="G36" s="147"/>
    </row>
    <row r="37">
      <c r="F37" s="145" t="str">
        <f t="array" ref="F37">IFERROR(PROPER(CONCATENATE(MID(E37,LEN(E37)-ROW(INDIRECT("1:"&amp;LEN(E37)))+1,1))),"")</f>
        <v/>
      </c>
      <c r="G37" s="147"/>
    </row>
    <row r="38">
      <c r="F38" s="145" t="str">
        <f t="array" ref="F38">IFERROR(PROPER(CONCATENATE(MID(E38,LEN(E38)-ROW(INDIRECT("1:"&amp;LEN(E38)))+1,1))),"")</f>
        <v/>
      </c>
      <c r="G38" s="147"/>
    </row>
    <row r="39">
      <c r="F39" s="145" t="str">
        <f t="array" ref="F39">IFERROR(PROPER(CONCATENATE(MID(E39,LEN(E39)-ROW(INDIRECT("1:"&amp;LEN(E39)))+1,1))),"")</f>
        <v/>
      </c>
      <c r="G39" s="147"/>
    </row>
    <row r="40">
      <c r="F40" s="145" t="str">
        <f t="array" ref="F40">IFERROR(PROPER(CONCATENATE(MID(E40,LEN(E40)-ROW(INDIRECT("1:"&amp;LEN(E40)))+1,1))),"")</f>
        <v/>
      </c>
      <c r="G40" s="147"/>
    </row>
    <row r="41">
      <c r="F41" s="145" t="str">
        <f t="array" ref="F41">IFERROR(PROPER(CONCATENATE(MID(E41,LEN(E41)-ROW(INDIRECT("1:"&amp;LEN(E41)))+1,1))),"")</f>
        <v/>
      </c>
      <c r="G41" s="147"/>
    </row>
    <row r="42">
      <c r="F42" s="145" t="str">
        <f t="array" ref="F42">IFERROR(PROPER(CONCATENATE(MID(E42,LEN(E42)-ROW(INDIRECT("1:"&amp;LEN(E42)))+1,1))),"")</f>
        <v/>
      </c>
      <c r="G42" s="147"/>
    </row>
    <row r="43">
      <c r="F43" s="145" t="str">
        <f t="array" ref="F43">IFERROR(PROPER(CONCATENATE(MID(E43,LEN(E43)-ROW(INDIRECT("1:"&amp;LEN(E43)))+1,1))),"")</f>
        <v/>
      </c>
      <c r="G43" s="147"/>
    </row>
    <row r="44">
      <c r="F44" s="145" t="str">
        <f t="array" ref="F44">IFERROR(PROPER(CONCATENATE(MID(E44,LEN(E44)-ROW(INDIRECT("1:"&amp;LEN(E44)))+1,1))),"")</f>
        <v/>
      </c>
      <c r="G44" s="147"/>
    </row>
    <row r="45">
      <c r="F45" s="145" t="str">
        <f t="array" ref="F45">IFERROR(PROPER(CONCATENATE(MID(E45,LEN(E45)-ROW(INDIRECT("1:"&amp;LEN(E45)))+1,1))),"")</f>
        <v/>
      </c>
      <c r="G45" s="147"/>
    </row>
    <row r="46">
      <c r="F46" s="145" t="str">
        <f t="array" ref="F46">IFERROR(PROPER(CONCATENATE(MID(E46,LEN(E46)-ROW(INDIRECT("1:"&amp;LEN(E46)))+1,1))),"")</f>
        <v/>
      </c>
      <c r="G46" s="147"/>
    </row>
    <row r="47">
      <c r="F47" s="145" t="str">
        <f t="array" ref="F47">IFERROR(PROPER(CONCATENATE(MID(E47,LEN(E47)-ROW(INDIRECT("1:"&amp;LEN(E47)))+1,1))),"")</f>
        <v/>
      </c>
      <c r="G47" s="147"/>
    </row>
    <row r="48">
      <c r="F48" s="145" t="str">
        <f t="array" ref="F48">IFERROR(PROPER(CONCATENATE(MID(E48,LEN(E48)-ROW(INDIRECT("1:"&amp;LEN(E48)))+1,1))),"")</f>
        <v/>
      </c>
      <c r="G48" s="147"/>
    </row>
    <row r="49">
      <c r="F49" s="145" t="str">
        <f t="array" ref="F49">IFERROR(PROPER(CONCATENATE(MID(E49,LEN(E49)-ROW(INDIRECT("1:"&amp;LEN(E49)))+1,1))),"")</f>
        <v/>
      </c>
      <c r="G49" s="147"/>
    </row>
    <row r="50">
      <c r="F50" s="145" t="str">
        <f t="array" ref="F50">IFERROR(PROPER(CONCATENATE(MID(E50,LEN(E50)-ROW(INDIRECT("1:"&amp;LEN(E50)))+1,1))),"")</f>
        <v/>
      </c>
      <c r="G50" s="147"/>
    </row>
    <row r="51">
      <c r="F51" s="145" t="str">
        <f t="array" ref="F51">IFERROR(PROPER(CONCATENATE(MID(E51,LEN(E51)-ROW(INDIRECT("1:"&amp;LEN(E51)))+1,1))),"")</f>
        <v/>
      </c>
      <c r="G51" s="147"/>
    </row>
    <row r="52">
      <c r="F52" s="145" t="str">
        <f t="array" ref="F52">IFERROR(PROPER(CONCATENATE(MID(E52,LEN(E52)-ROW(INDIRECT("1:"&amp;LEN(E52)))+1,1))),"")</f>
        <v/>
      </c>
      <c r="G52" s="147"/>
    </row>
    <row r="53">
      <c r="F53" s="145" t="str">
        <f t="array" ref="F53">IFERROR(PROPER(CONCATENATE(MID(E53,LEN(E53)-ROW(INDIRECT("1:"&amp;LEN(E53)))+1,1))),"")</f>
        <v/>
      </c>
      <c r="G53" s="147"/>
    </row>
    <row r="54">
      <c r="F54" s="145" t="str">
        <f t="array" ref="F54">IFERROR(PROPER(CONCATENATE(MID(E54,LEN(E54)-ROW(INDIRECT("1:"&amp;LEN(E54)))+1,1))),"")</f>
        <v/>
      </c>
      <c r="G54" s="147"/>
    </row>
    <row r="55">
      <c r="F55" s="145" t="str">
        <f t="array" ref="F55">IFERROR(PROPER(CONCATENATE(MID(E55,LEN(E55)-ROW(INDIRECT("1:"&amp;LEN(E55)))+1,1))),"")</f>
        <v/>
      </c>
      <c r="G55" s="147"/>
    </row>
    <row r="56">
      <c r="F56" s="145" t="str">
        <f t="array" ref="F56">IFERROR(PROPER(CONCATENATE(MID(E56,LEN(E56)-ROW(INDIRECT("1:"&amp;LEN(E56)))+1,1))),"")</f>
        <v/>
      </c>
      <c r="G56" s="147"/>
    </row>
    <row r="57">
      <c r="F57" s="145" t="str">
        <f t="array" ref="F57">IFERROR(PROPER(CONCATENATE(MID(E57,LEN(E57)-ROW(INDIRECT("1:"&amp;LEN(E57)))+1,1))),"")</f>
        <v/>
      </c>
      <c r="G57" s="147"/>
    </row>
    <row r="58">
      <c r="F58" s="145" t="str">
        <f t="array" ref="F58">IFERROR(PROPER(CONCATENATE(MID(E58,LEN(E58)-ROW(INDIRECT("1:"&amp;LEN(E58)))+1,1))),"")</f>
        <v/>
      </c>
      <c r="G58" s="147"/>
    </row>
    <row r="59">
      <c r="F59" s="145" t="str">
        <f t="array" ref="F59">IFERROR(PROPER(CONCATENATE(MID(E59,LEN(E59)-ROW(INDIRECT("1:"&amp;LEN(E59)))+1,1))),"")</f>
        <v/>
      </c>
      <c r="G59" s="147"/>
    </row>
    <row r="60">
      <c r="F60" s="145" t="str">
        <f t="array" ref="F60">IFERROR(PROPER(CONCATENATE(MID(E60,LEN(E60)-ROW(INDIRECT("1:"&amp;LEN(E60)))+1,1))),"")</f>
        <v/>
      </c>
      <c r="G60" s="147"/>
    </row>
    <row r="61">
      <c r="F61" s="145" t="str">
        <f t="array" ref="F61">IFERROR(PROPER(CONCATENATE(MID(E61,LEN(E61)-ROW(INDIRECT("1:"&amp;LEN(E61)))+1,1))),"")</f>
        <v/>
      </c>
      <c r="G61" s="147"/>
    </row>
    <row r="62">
      <c r="F62" s="145" t="str">
        <f t="array" ref="F62">IFERROR(PROPER(CONCATENATE(MID(E62,LEN(E62)-ROW(INDIRECT("1:"&amp;LEN(E62)))+1,1))),"")</f>
        <v/>
      </c>
      <c r="G62" s="147"/>
    </row>
    <row r="63">
      <c r="F63" s="145" t="str">
        <f t="array" ref="F63">IFERROR(PROPER(CONCATENATE(MID(E63,LEN(E63)-ROW(INDIRECT("1:"&amp;LEN(E63)))+1,1))),"")</f>
        <v/>
      </c>
      <c r="G63" s="147"/>
    </row>
    <row r="64">
      <c r="F64" s="145" t="str">
        <f t="array" ref="F64">IFERROR(PROPER(CONCATENATE(MID(E64,LEN(E64)-ROW(INDIRECT("1:"&amp;LEN(E64)))+1,1))),"")</f>
        <v/>
      </c>
      <c r="G64" s="147"/>
    </row>
    <row r="65">
      <c r="F65" s="145" t="str">
        <f t="array" ref="F65">IFERROR(PROPER(CONCATENATE(MID(E65,LEN(E65)-ROW(INDIRECT("1:"&amp;LEN(E65)))+1,1))),"")</f>
        <v/>
      </c>
      <c r="G65" s="147"/>
    </row>
    <row r="66">
      <c r="F66" s="145" t="str">
        <f t="array" ref="F66">IFERROR(PROPER(CONCATENATE(MID(E66,LEN(E66)-ROW(INDIRECT("1:"&amp;LEN(E66)))+1,1))),"")</f>
        <v/>
      </c>
      <c r="G66" s="147"/>
    </row>
    <row r="67">
      <c r="F67" s="145" t="str">
        <f t="array" ref="F67">IFERROR(PROPER(CONCATENATE(MID(E67,LEN(E67)-ROW(INDIRECT("1:"&amp;LEN(E67)))+1,1))),"")</f>
        <v/>
      </c>
      <c r="G67" s="147"/>
    </row>
    <row r="68">
      <c r="F68" s="145" t="str">
        <f t="array" ref="F68">IFERROR(PROPER(CONCATENATE(MID(E68,LEN(E68)-ROW(INDIRECT("1:"&amp;LEN(E68)))+1,1))),"")</f>
        <v/>
      </c>
      <c r="G68" s="147"/>
    </row>
    <row r="69">
      <c r="F69" s="145" t="str">
        <f t="array" ref="F69">IFERROR(PROPER(CONCATENATE(MID(E69,LEN(E69)-ROW(INDIRECT("1:"&amp;LEN(E69)))+1,1))),"")</f>
        <v/>
      </c>
      <c r="G69" s="147"/>
    </row>
    <row r="70">
      <c r="F70" s="145" t="str">
        <f t="array" ref="F70">IFERROR(PROPER(CONCATENATE(MID(E70,LEN(E70)-ROW(INDIRECT("1:"&amp;LEN(E70)))+1,1))),"")</f>
        <v/>
      </c>
      <c r="G70" s="147"/>
    </row>
    <row r="71">
      <c r="F71" s="145" t="str">
        <f t="array" ref="F71">IFERROR(PROPER(CONCATENATE(MID(E71,LEN(E71)-ROW(INDIRECT("1:"&amp;LEN(E71)))+1,1))),"")</f>
        <v/>
      </c>
      <c r="G71" s="147"/>
    </row>
    <row r="72">
      <c r="F72" s="145" t="str">
        <f t="array" ref="F72">IFERROR(PROPER(CONCATENATE(MID(E72,LEN(E72)-ROW(INDIRECT("1:"&amp;LEN(E72)))+1,1))),"")</f>
        <v/>
      </c>
      <c r="G72" s="147"/>
    </row>
    <row r="73">
      <c r="F73" s="145" t="str">
        <f t="array" ref="F73">IFERROR(PROPER(CONCATENATE(MID(E73,LEN(E73)-ROW(INDIRECT("1:"&amp;LEN(E73)))+1,1))),"")</f>
        <v/>
      </c>
      <c r="G73" s="147"/>
    </row>
    <row r="74">
      <c r="F74" s="145" t="str">
        <f t="array" ref="F74">IFERROR(PROPER(CONCATENATE(MID(E74,LEN(E74)-ROW(INDIRECT("1:"&amp;LEN(E74)))+1,1))),"")</f>
        <v/>
      </c>
      <c r="G74" s="147"/>
    </row>
    <row r="75">
      <c r="F75" s="145" t="str">
        <f t="array" ref="F75">IFERROR(PROPER(CONCATENATE(MID(E75,LEN(E75)-ROW(INDIRECT("1:"&amp;LEN(E75)))+1,1))),"")</f>
        <v/>
      </c>
      <c r="G75" s="147"/>
    </row>
    <row r="76">
      <c r="F76" s="145" t="str">
        <f t="array" ref="F76">IFERROR(PROPER(CONCATENATE(MID(E76,LEN(E76)-ROW(INDIRECT("1:"&amp;LEN(E76)))+1,1))),"")</f>
        <v/>
      </c>
      <c r="G76" s="147"/>
    </row>
    <row r="77">
      <c r="F77" s="145" t="str">
        <f t="array" ref="F77">IFERROR(PROPER(CONCATENATE(MID(E77,LEN(E77)-ROW(INDIRECT("1:"&amp;LEN(E77)))+1,1))),"")</f>
        <v/>
      </c>
      <c r="G77" s="147"/>
    </row>
    <row r="78">
      <c r="F78" s="145" t="str">
        <f t="array" ref="F78">IFERROR(PROPER(CONCATENATE(MID(E78,LEN(E78)-ROW(INDIRECT("1:"&amp;LEN(E78)))+1,1))),"")</f>
        <v/>
      </c>
      <c r="G78" s="147"/>
    </row>
    <row r="79">
      <c r="F79" s="145" t="str">
        <f t="array" ref="F79">IFERROR(PROPER(CONCATENATE(MID(E79,LEN(E79)-ROW(INDIRECT("1:"&amp;LEN(E79)))+1,1))),"")</f>
        <v/>
      </c>
      <c r="G79" s="147"/>
    </row>
    <row r="80">
      <c r="F80" s="145" t="str">
        <f t="array" ref="F80">IFERROR(PROPER(CONCATENATE(MID(E80,LEN(E80)-ROW(INDIRECT("1:"&amp;LEN(E80)))+1,1))),"")</f>
        <v/>
      </c>
      <c r="G80" s="147"/>
    </row>
    <row r="81">
      <c r="F81" s="145" t="str">
        <f t="array" ref="F81">IFERROR(PROPER(CONCATENATE(MID(E81,LEN(E81)-ROW(INDIRECT("1:"&amp;LEN(E81)))+1,1))),"")</f>
        <v/>
      </c>
      <c r="G81" s="147"/>
    </row>
    <row r="82">
      <c r="F82" s="145" t="str">
        <f t="array" ref="F82">IFERROR(PROPER(CONCATENATE(MID(E82,LEN(E82)-ROW(INDIRECT("1:"&amp;LEN(E82)))+1,1))),"")</f>
        <v/>
      </c>
      <c r="G82" s="147"/>
    </row>
    <row r="83">
      <c r="F83" s="145" t="str">
        <f t="array" ref="F83">IFERROR(PROPER(CONCATENATE(MID(E83,LEN(E83)-ROW(INDIRECT("1:"&amp;LEN(E83)))+1,1))),"")</f>
        <v/>
      </c>
      <c r="G83" s="147"/>
    </row>
    <row r="84">
      <c r="F84" s="145" t="str">
        <f t="array" ref="F84">IFERROR(PROPER(CONCATENATE(MID(E84,LEN(E84)-ROW(INDIRECT("1:"&amp;LEN(E84)))+1,1))),"")</f>
        <v/>
      </c>
      <c r="G84" s="147"/>
    </row>
    <row r="85">
      <c r="F85" s="145" t="str">
        <f t="array" ref="F85">IFERROR(PROPER(CONCATENATE(MID(E85,LEN(E85)-ROW(INDIRECT("1:"&amp;LEN(E85)))+1,1))),"")</f>
        <v/>
      </c>
      <c r="G85" s="147"/>
    </row>
    <row r="86">
      <c r="F86" s="145" t="str">
        <f t="array" ref="F86">IFERROR(PROPER(CONCATENATE(MID(E86,LEN(E86)-ROW(INDIRECT("1:"&amp;LEN(E86)))+1,1))),"")</f>
        <v/>
      </c>
      <c r="G86" s="147"/>
    </row>
    <row r="87">
      <c r="F87" s="145" t="str">
        <f t="array" ref="F87">IFERROR(PROPER(CONCATENATE(MID(E87,LEN(E87)-ROW(INDIRECT("1:"&amp;LEN(E87)))+1,1))),"")</f>
        <v/>
      </c>
      <c r="G87" s="147"/>
    </row>
    <row r="88">
      <c r="F88" s="145" t="str">
        <f t="array" ref="F88">IFERROR(PROPER(CONCATENATE(MID(E88,LEN(E88)-ROW(INDIRECT("1:"&amp;LEN(E88)))+1,1))),"")</f>
        <v/>
      </c>
      <c r="G88" s="147"/>
    </row>
    <row r="89">
      <c r="F89" s="145" t="str">
        <f t="array" ref="F89">IFERROR(PROPER(CONCATENATE(MID(E89,LEN(E89)-ROW(INDIRECT("1:"&amp;LEN(E89)))+1,1))),"")</f>
        <v/>
      </c>
      <c r="G89" s="147"/>
    </row>
    <row r="90">
      <c r="F90" s="145" t="str">
        <f t="array" ref="F90">IFERROR(PROPER(CONCATENATE(MID(E90,LEN(E90)-ROW(INDIRECT("1:"&amp;LEN(E90)))+1,1))),"")</f>
        <v/>
      </c>
      <c r="G90" s="147"/>
    </row>
    <row r="91">
      <c r="F91" s="145" t="str">
        <f t="array" ref="F91">IFERROR(PROPER(CONCATENATE(MID(E91,LEN(E91)-ROW(INDIRECT("1:"&amp;LEN(E91)))+1,1))),"")</f>
        <v/>
      </c>
      <c r="G91" s="147"/>
    </row>
    <row r="92">
      <c r="F92" s="145" t="str">
        <f t="array" ref="F92">IFERROR(PROPER(CONCATENATE(MID(E92,LEN(E92)-ROW(INDIRECT("1:"&amp;LEN(E92)))+1,1))),"")</f>
        <v/>
      </c>
      <c r="G92" s="147"/>
    </row>
    <row r="93">
      <c r="F93" s="145" t="str">
        <f t="array" ref="F93">IFERROR(PROPER(CONCATENATE(MID(E93,LEN(E93)-ROW(INDIRECT("1:"&amp;LEN(E93)))+1,1))),"")</f>
        <v/>
      </c>
      <c r="G93" s="147"/>
    </row>
    <row r="94">
      <c r="F94" s="145" t="str">
        <f t="array" ref="F94">IFERROR(PROPER(CONCATENATE(MID(E94,LEN(E94)-ROW(INDIRECT("1:"&amp;LEN(E94)))+1,1))),"")</f>
        <v/>
      </c>
      <c r="G94" s="147"/>
    </row>
    <row r="95">
      <c r="F95" s="145" t="str">
        <f t="array" ref="F95">IFERROR(PROPER(CONCATENATE(MID(E95,LEN(E95)-ROW(INDIRECT("1:"&amp;LEN(E95)))+1,1))),"")</f>
        <v/>
      </c>
      <c r="G95" s="147"/>
    </row>
    <row r="96">
      <c r="F96" s="145" t="str">
        <f t="array" ref="F96">IFERROR(PROPER(CONCATENATE(MID(E96,LEN(E96)-ROW(INDIRECT("1:"&amp;LEN(E96)))+1,1))),"")</f>
        <v/>
      </c>
      <c r="G96" s="147"/>
    </row>
    <row r="97">
      <c r="F97" s="145" t="str">
        <f t="array" ref="F97">IFERROR(PROPER(CONCATENATE(MID(E97,LEN(E97)-ROW(INDIRECT("1:"&amp;LEN(E97)))+1,1))),"")</f>
        <v/>
      </c>
      <c r="G97" s="147"/>
    </row>
    <row r="98">
      <c r="F98" s="145" t="str">
        <f t="array" ref="F98">IFERROR(PROPER(CONCATENATE(MID(E98,LEN(E98)-ROW(INDIRECT("1:"&amp;LEN(E98)))+1,1))),"")</f>
        <v/>
      </c>
      <c r="G98" s="147"/>
    </row>
    <row r="99">
      <c r="F99" s="145" t="str">
        <f t="array" ref="F99">IFERROR(PROPER(CONCATENATE(MID(E99,LEN(E99)-ROW(INDIRECT("1:"&amp;LEN(E99)))+1,1))),"")</f>
        <v/>
      </c>
      <c r="G99" s="147"/>
    </row>
    <row r="100">
      <c r="F100" s="145" t="str">
        <f t="array" ref="F100">IFERROR(PROPER(CONCATENATE(MID(E100,LEN(E100)-ROW(INDIRECT("1:"&amp;LEN(E100)))+1,1))),"")</f>
        <v/>
      </c>
      <c r="G100" s="147"/>
    </row>
    <row r="101">
      <c r="F101" s="145" t="str">
        <f t="array" ref="F101">IFERROR(PROPER(CONCATENATE(MID(E101,LEN(E101)-ROW(INDIRECT("1:"&amp;LEN(E101)))+1,1))),"")</f>
        <v/>
      </c>
      <c r="G101" s="147"/>
    </row>
    <row r="102">
      <c r="F102" s="145" t="str">
        <f t="array" ref="F102">IFERROR(PROPER(CONCATENATE(MID(E102,LEN(E102)-ROW(INDIRECT("1:"&amp;LEN(E102)))+1,1))),"")</f>
        <v/>
      </c>
      <c r="G102" s="147"/>
    </row>
    <row r="103">
      <c r="F103" s="145" t="str">
        <f t="array" ref="F103">IFERROR(PROPER(CONCATENATE(MID(E103,LEN(E103)-ROW(INDIRECT("1:"&amp;LEN(E103)))+1,1))),"")</f>
        <v/>
      </c>
      <c r="G103" s="147"/>
    </row>
    <row r="104">
      <c r="F104" s="145" t="str">
        <f t="array" ref="F104">IFERROR(PROPER(CONCATENATE(MID(E104,LEN(E104)-ROW(INDIRECT("1:"&amp;LEN(E104)))+1,1))),"")</f>
        <v/>
      </c>
      <c r="G104" s="147"/>
    </row>
    <row r="105">
      <c r="F105" s="145" t="str">
        <f t="array" ref="F105">IFERROR(PROPER(CONCATENATE(MID(E105,LEN(E105)-ROW(INDIRECT("1:"&amp;LEN(E105)))+1,1))),"")</f>
        <v/>
      </c>
      <c r="G105" s="147"/>
    </row>
    <row r="106">
      <c r="F106" s="145" t="str">
        <f t="array" ref="F106">IFERROR(PROPER(CONCATENATE(MID(E106,LEN(E106)-ROW(INDIRECT("1:"&amp;LEN(E106)))+1,1))),"")</f>
        <v/>
      </c>
      <c r="G106" s="147"/>
    </row>
    <row r="107">
      <c r="F107" s="145" t="str">
        <f t="array" ref="F107">IFERROR(PROPER(CONCATENATE(MID(E107,LEN(E107)-ROW(INDIRECT("1:"&amp;LEN(E107)))+1,1))),"")</f>
        <v/>
      </c>
      <c r="G107" s="147"/>
    </row>
    <row r="108">
      <c r="F108" s="145" t="str">
        <f t="array" ref="F108">IFERROR(PROPER(CONCATENATE(MID(E108,LEN(E108)-ROW(INDIRECT("1:"&amp;LEN(E108)))+1,1))),"")</f>
        <v/>
      </c>
      <c r="G108" s="147"/>
    </row>
    <row r="109">
      <c r="F109" s="145" t="str">
        <f t="array" ref="F109">IFERROR(PROPER(CONCATENATE(MID(E109,LEN(E109)-ROW(INDIRECT("1:"&amp;LEN(E109)))+1,1))),"")</f>
        <v/>
      </c>
      <c r="G109" s="147"/>
    </row>
    <row r="110">
      <c r="F110" s="145" t="str">
        <f t="array" ref="F110">IFERROR(PROPER(CONCATENATE(MID(E110,LEN(E110)-ROW(INDIRECT("1:"&amp;LEN(E110)))+1,1))),"")</f>
        <v/>
      </c>
      <c r="G110" s="147"/>
    </row>
    <row r="111">
      <c r="G111" s="147"/>
    </row>
    <row r="112">
      <c r="G112" s="147"/>
    </row>
    <row r="113">
      <c r="G113" s="147"/>
    </row>
    <row r="114">
      <c r="G114" s="147"/>
    </row>
    <row r="115">
      <c r="G115" s="147"/>
    </row>
    <row r="116">
      <c r="G116" s="147"/>
    </row>
    <row r="117">
      <c r="G117" s="147"/>
    </row>
    <row r="118">
      <c r="G118" s="147"/>
    </row>
    <row r="119">
      <c r="G119" s="147"/>
    </row>
    <row r="120">
      <c r="G120" s="147"/>
    </row>
    <row r="121">
      <c r="G121" s="147"/>
    </row>
    <row r="122">
      <c r="G122" s="147"/>
    </row>
    <row r="123">
      <c r="G123" s="147"/>
    </row>
    <row r="124">
      <c r="G124" s="147"/>
    </row>
    <row r="125">
      <c r="G125" s="147"/>
    </row>
    <row r="126">
      <c r="G126" s="147"/>
    </row>
    <row r="127">
      <c r="G127" s="147"/>
    </row>
    <row r="128">
      <c r="G128" s="147"/>
    </row>
    <row r="129">
      <c r="G129" s="147"/>
    </row>
    <row r="130">
      <c r="G130" s="147"/>
    </row>
    <row r="131">
      <c r="G131" s="147"/>
    </row>
    <row r="132">
      <c r="G132" s="147"/>
    </row>
    <row r="133">
      <c r="G133" s="147"/>
    </row>
    <row r="134">
      <c r="G134" s="147"/>
    </row>
    <row r="135">
      <c r="G135" s="147"/>
    </row>
    <row r="136">
      <c r="G136" s="147"/>
    </row>
    <row r="137">
      <c r="G137" s="147"/>
    </row>
    <row r="138">
      <c r="G138" s="147"/>
    </row>
    <row r="139">
      <c r="G139" s="147"/>
    </row>
    <row r="140">
      <c r="G140" s="147"/>
    </row>
    <row r="141">
      <c r="G141" s="147"/>
    </row>
    <row r="142">
      <c r="G142" s="147"/>
    </row>
    <row r="143">
      <c r="G143" s="147"/>
    </row>
    <row r="144">
      <c r="G144" s="147"/>
    </row>
    <row r="145">
      <c r="G145" s="147"/>
    </row>
    <row r="146">
      <c r="G146" s="147"/>
    </row>
    <row r="147">
      <c r="G147" s="147"/>
    </row>
    <row r="148">
      <c r="G148" s="147"/>
    </row>
    <row r="149">
      <c r="G149" s="147"/>
    </row>
    <row r="150">
      <c r="G150" s="147"/>
    </row>
    <row r="151">
      <c r="G151" s="147"/>
    </row>
    <row r="152">
      <c r="G152" s="147"/>
    </row>
    <row r="153">
      <c r="G153" s="147"/>
    </row>
    <row r="154">
      <c r="G154" s="147"/>
    </row>
    <row r="155">
      <c r="G155" s="147"/>
    </row>
    <row r="156">
      <c r="G156" s="147"/>
    </row>
    <row r="157">
      <c r="G157" s="147"/>
    </row>
    <row r="158">
      <c r="G158" s="147"/>
    </row>
    <row r="159">
      <c r="G159" s="147"/>
    </row>
    <row r="160">
      <c r="G160" s="147"/>
    </row>
    <row r="161">
      <c r="G161" s="147"/>
    </row>
    <row r="162">
      <c r="G162" s="147"/>
    </row>
    <row r="163">
      <c r="G163" s="147"/>
    </row>
    <row r="164">
      <c r="G164" s="147"/>
    </row>
    <row r="165">
      <c r="G165" s="147"/>
    </row>
    <row r="166">
      <c r="G166" s="147"/>
    </row>
    <row r="167">
      <c r="G167" s="147"/>
    </row>
    <row r="168">
      <c r="G168" s="147"/>
    </row>
    <row r="169">
      <c r="G169" s="147"/>
    </row>
    <row r="170">
      <c r="G170" s="147"/>
    </row>
    <row r="171">
      <c r="G171" s="147"/>
    </row>
    <row r="172">
      <c r="G172" s="147"/>
    </row>
    <row r="173">
      <c r="G173" s="147"/>
    </row>
    <row r="174">
      <c r="G174" s="147"/>
    </row>
    <row r="175">
      <c r="G175" s="147"/>
    </row>
    <row r="176">
      <c r="G176" s="147"/>
    </row>
    <row r="177">
      <c r="G177" s="147"/>
    </row>
    <row r="178">
      <c r="G178" s="147"/>
    </row>
    <row r="179">
      <c r="G179" s="147"/>
    </row>
    <row r="180">
      <c r="G180" s="147"/>
    </row>
    <row r="181">
      <c r="G181" s="147"/>
    </row>
    <row r="182">
      <c r="G182" s="147"/>
    </row>
    <row r="183">
      <c r="G183" s="147"/>
    </row>
    <row r="184">
      <c r="G184" s="147"/>
    </row>
    <row r="185">
      <c r="G185" s="147"/>
    </row>
    <row r="186">
      <c r="G186" s="147"/>
    </row>
    <row r="187">
      <c r="G187" s="147"/>
    </row>
    <row r="188">
      <c r="G188" s="147"/>
    </row>
    <row r="189">
      <c r="G189" s="147"/>
    </row>
    <row r="190">
      <c r="G190" s="147"/>
    </row>
    <row r="191">
      <c r="G191" s="147"/>
    </row>
    <row r="192">
      <c r="G192" s="147"/>
    </row>
    <row r="193">
      <c r="G193" s="147"/>
    </row>
    <row r="194">
      <c r="G194" s="147"/>
    </row>
    <row r="195">
      <c r="G195" s="147"/>
    </row>
    <row r="196">
      <c r="G196" s="147"/>
    </row>
    <row r="197">
      <c r="G197" s="147"/>
    </row>
    <row r="198">
      <c r="G198" s="147"/>
    </row>
    <row r="199">
      <c r="G199" s="147"/>
    </row>
    <row r="200">
      <c r="G200" s="147"/>
    </row>
    <row r="201">
      <c r="G201" s="147"/>
    </row>
    <row r="202">
      <c r="G202" s="147"/>
    </row>
    <row r="203">
      <c r="G203" s="147"/>
    </row>
    <row r="204">
      <c r="G204" s="147"/>
    </row>
    <row r="205">
      <c r="G205" s="147"/>
    </row>
    <row r="206">
      <c r="G206" s="147"/>
    </row>
    <row r="207">
      <c r="G207" s="147"/>
    </row>
    <row r="208">
      <c r="G208" s="147"/>
    </row>
    <row r="209">
      <c r="G209" s="147"/>
    </row>
    <row r="210">
      <c r="G210" s="147"/>
    </row>
    <row r="211">
      <c r="G211" s="147"/>
    </row>
    <row r="212">
      <c r="G212" s="147"/>
    </row>
    <row r="213">
      <c r="G213" s="147"/>
    </row>
    <row r="214">
      <c r="G214" s="147"/>
    </row>
    <row r="215">
      <c r="G215" s="147"/>
    </row>
    <row r="216">
      <c r="G216" s="147"/>
    </row>
    <row r="217">
      <c r="G217" s="147"/>
    </row>
    <row r="218">
      <c r="G218" s="147"/>
    </row>
    <row r="219">
      <c r="G219" s="147"/>
    </row>
    <row r="220">
      <c r="G220" s="147"/>
    </row>
    <row r="221">
      <c r="G221" s="147"/>
    </row>
    <row r="222">
      <c r="G222" s="147"/>
    </row>
    <row r="223">
      <c r="G223" s="147"/>
    </row>
    <row r="224">
      <c r="G224" s="147"/>
    </row>
    <row r="225">
      <c r="G225" s="147"/>
    </row>
    <row r="226">
      <c r="G226" s="147"/>
    </row>
    <row r="227">
      <c r="G227" s="147"/>
    </row>
    <row r="228">
      <c r="G228" s="147"/>
    </row>
    <row r="229">
      <c r="G229" s="147"/>
    </row>
    <row r="230">
      <c r="G230" s="147"/>
    </row>
    <row r="231">
      <c r="G231" s="147"/>
    </row>
    <row r="232">
      <c r="G232" s="147"/>
    </row>
    <row r="233">
      <c r="G233" s="147"/>
    </row>
    <row r="234">
      <c r="G234" s="147"/>
    </row>
    <row r="235">
      <c r="G235" s="147"/>
    </row>
    <row r="236">
      <c r="G236" s="147"/>
    </row>
    <row r="237">
      <c r="G237" s="147"/>
    </row>
    <row r="238">
      <c r="G238" s="147"/>
    </row>
    <row r="239">
      <c r="G239" s="147"/>
    </row>
    <row r="240">
      <c r="G240" s="147"/>
    </row>
    <row r="241">
      <c r="G241" s="147"/>
    </row>
    <row r="242">
      <c r="G242" s="147"/>
    </row>
    <row r="243">
      <c r="G243" s="147"/>
    </row>
    <row r="244">
      <c r="G244" s="147"/>
    </row>
    <row r="245">
      <c r="G245" s="147"/>
    </row>
    <row r="246">
      <c r="G246" s="147"/>
    </row>
    <row r="247">
      <c r="G247" s="147"/>
    </row>
    <row r="248">
      <c r="G248" s="147"/>
    </row>
    <row r="249">
      <c r="G249" s="147"/>
    </row>
    <row r="250">
      <c r="G250" s="147"/>
    </row>
    <row r="251">
      <c r="G251" s="147"/>
    </row>
    <row r="252">
      <c r="G252" s="147"/>
    </row>
    <row r="253">
      <c r="G253" s="147"/>
    </row>
    <row r="254">
      <c r="G254" s="147"/>
    </row>
    <row r="255">
      <c r="G255" s="147"/>
    </row>
    <row r="256">
      <c r="G256" s="147"/>
    </row>
    <row r="257">
      <c r="G257" s="147"/>
    </row>
    <row r="258">
      <c r="G258" s="147"/>
    </row>
    <row r="259">
      <c r="G259" s="147"/>
    </row>
    <row r="260">
      <c r="G260" s="147"/>
    </row>
    <row r="261">
      <c r="G261" s="147"/>
    </row>
    <row r="262">
      <c r="G262" s="147"/>
    </row>
    <row r="263">
      <c r="G263" s="147"/>
    </row>
    <row r="264">
      <c r="G264" s="147"/>
    </row>
    <row r="265">
      <c r="G265" s="147"/>
    </row>
    <row r="266">
      <c r="G266" s="147"/>
    </row>
    <row r="267">
      <c r="G267" s="147"/>
    </row>
    <row r="268">
      <c r="G268" s="147"/>
    </row>
    <row r="269">
      <c r="G269" s="147"/>
    </row>
    <row r="270">
      <c r="G270" s="147"/>
    </row>
    <row r="271">
      <c r="G271" s="147"/>
    </row>
    <row r="272">
      <c r="G272" s="147"/>
    </row>
    <row r="273">
      <c r="G273" s="147"/>
    </row>
    <row r="274">
      <c r="G274" s="147"/>
    </row>
    <row r="275">
      <c r="G275" s="147"/>
    </row>
    <row r="276">
      <c r="G276" s="147"/>
    </row>
    <row r="277">
      <c r="G277" s="147"/>
    </row>
    <row r="278">
      <c r="G278" s="147"/>
    </row>
    <row r="279">
      <c r="G279" s="147"/>
    </row>
    <row r="280">
      <c r="G280" s="147"/>
    </row>
    <row r="281">
      <c r="G281" s="147"/>
    </row>
    <row r="282">
      <c r="G282" s="147"/>
    </row>
    <row r="283">
      <c r="G283" s="147"/>
    </row>
    <row r="284">
      <c r="G284" s="147"/>
    </row>
    <row r="285">
      <c r="G285" s="147"/>
    </row>
    <row r="286">
      <c r="G286" s="147"/>
    </row>
    <row r="287">
      <c r="G287" s="147"/>
    </row>
    <row r="288">
      <c r="G288" s="147"/>
    </row>
    <row r="289">
      <c r="G289" s="147"/>
    </row>
    <row r="290">
      <c r="G290" s="147"/>
    </row>
    <row r="291">
      <c r="G291" s="147"/>
    </row>
    <row r="292">
      <c r="G292" s="147"/>
    </row>
    <row r="293">
      <c r="G293" s="147"/>
    </row>
    <row r="294">
      <c r="G294" s="147"/>
    </row>
    <row r="295">
      <c r="G295" s="147"/>
    </row>
    <row r="296">
      <c r="G296" s="147"/>
    </row>
    <row r="297">
      <c r="G297" s="147"/>
    </row>
    <row r="298">
      <c r="G298" s="147"/>
    </row>
    <row r="299">
      <c r="G299" s="147"/>
    </row>
    <row r="300">
      <c r="G300" s="147"/>
    </row>
    <row r="301">
      <c r="G301" s="147"/>
    </row>
    <row r="302">
      <c r="G302" s="147"/>
    </row>
    <row r="303">
      <c r="G303" s="147"/>
    </row>
    <row r="304">
      <c r="G304" s="147"/>
    </row>
    <row r="305">
      <c r="G305" s="147"/>
    </row>
    <row r="306">
      <c r="G306" s="147"/>
    </row>
    <row r="307">
      <c r="G307" s="147"/>
    </row>
    <row r="308">
      <c r="G308" s="147"/>
    </row>
    <row r="309">
      <c r="G309" s="147"/>
    </row>
    <row r="310">
      <c r="G310" s="147"/>
    </row>
    <row r="311">
      <c r="G311" s="147"/>
    </row>
    <row r="312">
      <c r="G312" s="147"/>
    </row>
    <row r="313">
      <c r="G313" s="147"/>
    </row>
    <row r="314">
      <c r="G314" s="147"/>
    </row>
    <row r="315">
      <c r="G315" s="147"/>
    </row>
    <row r="316">
      <c r="G316" s="147"/>
    </row>
    <row r="317">
      <c r="G317" s="147"/>
    </row>
    <row r="318">
      <c r="G318" s="147"/>
    </row>
    <row r="319">
      <c r="G319" s="147"/>
    </row>
    <row r="320">
      <c r="G320" s="147"/>
    </row>
    <row r="321">
      <c r="G321" s="147"/>
    </row>
    <row r="322">
      <c r="G322" s="147"/>
    </row>
    <row r="323">
      <c r="G323" s="147"/>
    </row>
    <row r="324">
      <c r="G324" s="147"/>
    </row>
    <row r="325">
      <c r="G325" s="147"/>
    </row>
    <row r="326">
      <c r="G326" s="147"/>
    </row>
    <row r="327">
      <c r="G327" s="147"/>
    </row>
    <row r="328">
      <c r="G328" s="147"/>
    </row>
    <row r="329">
      <c r="G329" s="147"/>
    </row>
    <row r="330">
      <c r="G330" s="147"/>
    </row>
    <row r="331">
      <c r="G331" s="147"/>
    </row>
    <row r="332">
      <c r="G332" s="147"/>
    </row>
    <row r="333">
      <c r="G333" s="147"/>
    </row>
    <row r="334">
      <c r="G334" s="147"/>
    </row>
    <row r="335">
      <c r="G335" s="147"/>
    </row>
    <row r="336">
      <c r="G336" s="147"/>
    </row>
    <row r="337">
      <c r="G337" s="147"/>
    </row>
    <row r="338">
      <c r="G338" s="147"/>
    </row>
    <row r="339">
      <c r="G339" s="147"/>
    </row>
    <row r="340">
      <c r="G340" s="147"/>
    </row>
    <row r="341">
      <c r="G341" s="147"/>
    </row>
    <row r="342">
      <c r="G342" s="147"/>
    </row>
    <row r="343">
      <c r="G343" s="147"/>
    </row>
    <row r="344">
      <c r="G344" s="147"/>
    </row>
    <row r="345">
      <c r="G345" s="147"/>
    </row>
    <row r="346">
      <c r="G346" s="147"/>
    </row>
    <row r="347">
      <c r="G347" s="147"/>
    </row>
    <row r="348">
      <c r="G348" s="147"/>
    </row>
    <row r="349">
      <c r="G349" s="147"/>
    </row>
    <row r="350">
      <c r="G350" s="147"/>
    </row>
    <row r="351">
      <c r="G351" s="147"/>
    </row>
    <row r="352">
      <c r="G352" s="147"/>
    </row>
    <row r="353">
      <c r="G353" s="147"/>
    </row>
    <row r="354">
      <c r="G354" s="147"/>
    </row>
    <row r="355">
      <c r="G355" s="147"/>
    </row>
    <row r="356">
      <c r="G356" s="147"/>
    </row>
    <row r="357">
      <c r="G357" s="147"/>
    </row>
    <row r="358">
      <c r="G358" s="147"/>
    </row>
    <row r="359">
      <c r="G359" s="147"/>
    </row>
    <row r="360">
      <c r="G360" s="147"/>
    </row>
    <row r="361">
      <c r="G361" s="147"/>
    </row>
    <row r="362">
      <c r="G362" s="147"/>
    </row>
    <row r="363">
      <c r="G363" s="147"/>
    </row>
    <row r="364">
      <c r="G364" s="147"/>
    </row>
    <row r="365">
      <c r="G365" s="147"/>
    </row>
    <row r="366">
      <c r="G366" s="147"/>
    </row>
    <row r="367">
      <c r="G367" s="147"/>
    </row>
    <row r="368">
      <c r="G368" s="147"/>
    </row>
    <row r="369">
      <c r="G369" s="147"/>
    </row>
    <row r="370">
      <c r="G370" s="147"/>
    </row>
    <row r="371">
      <c r="G371" s="147"/>
    </row>
    <row r="372">
      <c r="G372" s="147"/>
    </row>
    <row r="373">
      <c r="G373" s="147"/>
    </row>
    <row r="374">
      <c r="G374" s="147"/>
    </row>
    <row r="375">
      <c r="G375" s="147"/>
    </row>
    <row r="376">
      <c r="G376" s="147"/>
    </row>
    <row r="377">
      <c r="G377" s="147"/>
    </row>
    <row r="378">
      <c r="G378" s="147"/>
    </row>
    <row r="379">
      <c r="G379" s="147"/>
    </row>
    <row r="380">
      <c r="G380" s="147"/>
    </row>
    <row r="381">
      <c r="G381" s="147"/>
    </row>
    <row r="382">
      <c r="G382" s="147"/>
    </row>
    <row r="383">
      <c r="G383" s="147"/>
    </row>
    <row r="384">
      <c r="G384" s="147"/>
    </row>
    <row r="385">
      <c r="G385" s="147"/>
    </row>
    <row r="386">
      <c r="G386" s="147"/>
    </row>
    <row r="387">
      <c r="G387" s="147"/>
    </row>
    <row r="388">
      <c r="G388" s="147"/>
    </row>
    <row r="389">
      <c r="G389" s="147"/>
    </row>
    <row r="390">
      <c r="G390" s="147"/>
    </row>
    <row r="391">
      <c r="G391" s="147"/>
    </row>
    <row r="392">
      <c r="G392" s="147"/>
    </row>
    <row r="393">
      <c r="G393" s="147"/>
    </row>
    <row r="394">
      <c r="G394" s="147"/>
    </row>
    <row r="395">
      <c r="G395" s="147"/>
    </row>
    <row r="396">
      <c r="G396" s="147"/>
    </row>
    <row r="397">
      <c r="G397" s="147"/>
    </row>
    <row r="398">
      <c r="G398" s="147"/>
    </row>
    <row r="399">
      <c r="G399" s="147"/>
    </row>
    <row r="400">
      <c r="G400" s="147"/>
    </row>
    <row r="401">
      <c r="G401" s="147"/>
    </row>
    <row r="402">
      <c r="G402" s="147"/>
    </row>
    <row r="403">
      <c r="G403" s="147"/>
    </row>
    <row r="404">
      <c r="G404" s="147"/>
    </row>
    <row r="405">
      <c r="G405" s="147"/>
    </row>
    <row r="406">
      <c r="G406" s="147"/>
    </row>
    <row r="407">
      <c r="G407" s="147"/>
    </row>
    <row r="408">
      <c r="G408" s="147"/>
    </row>
    <row r="409">
      <c r="G409" s="147"/>
    </row>
    <row r="410">
      <c r="G410" s="147"/>
    </row>
    <row r="411">
      <c r="G411" s="147"/>
    </row>
    <row r="412">
      <c r="G412" s="147"/>
    </row>
    <row r="413">
      <c r="G413" s="147"/>
    </row>
    <row r="414">
      <c r="G414" s="147"/>
    </row>
    <row r="415">
      <c r="G415" s="147"/>
    </row>
    <row r="416">
      <c r="G416" s="147"/>
    </row>
    <row r="417">
      <c r="G417" s="147"/>
    </row>
    <row r="418">
      <c r="G418" s="147"/>
    </row>
    <row r="419">
      <c r="G419" s="147"/>
    </row>
    <row r="420">
      <c r="G420" s="147"/>
    </row>
    <row r="421">
      <c r="G421" s="147"/>
    </row>
    <row r="422">
      <c r="G422" s="147"/>
    </row>
    <row r="423">
      <c r="G423" s="147"/>
    </row>
    <row r="424">
      <c r="G424" s="147"/>
    </row>
    <row r="425">
      <c r="G425" s="147"/>
    </row>
    <row r="426">
      <c r="G426" s="147"/>
    </row>
    <row r="427">
      <c r="G427" s="147"/>
    </row>
    <row r="428">
      <c r="G428" s="147"/>
    </row>
    <row r="429">
      <c r="G429" s="147"/>
    </row>
    <row r="430">
      <c r="G430" s="147"/>
    </row>
    <row r="431">
      <c r="G431" s="147"/>
    </row>
    <row r="432">
      <c r="G432" s="147"/>
    </row>
    <row r="433">
      <c r="G433" s="147"/>
    </row>
    <row r="434">
      <c r="G434" s="147"/>
    </row>
    <row r="435">
      <c r="G435" s="147"/>
    </row>
    <row r="436">
      <c r="G436" s="147"/>
    </row>
    <row r="437">
      <c r="G437" s="147"/>
    </row>
    <row r="438">
      <c r="G438" s="147"/>
    </row>
    <row r="439">
      <c r="G439" s="147"/>
    </row>
    <row r="440">
      <c r="G440" s="147"/>
    </row>
    <row r="441">
      <c r="G441" s="147"/>
    </row>
    <row r="442">
      <c r="G442" s="147"/>
    </row>
    <row r="443">
      <c r="G443" s="147"/>
    </row>
    <row r="444">
      <c r="G444" s="147"/>
    </row>
    <row r="445">
      <c r="G445" s="147"/>
    </row>
    <row r="446">
      <c r="G446" s="147"/>
    </row>
    <row r="447">
      <c r="G447" s="147"/>
    </row>
    <row r="448">
      <c r="G448" s="147"/>
    </row>
    <row r="449">
      <c r="G449" s="147"/>
    </row>
    <row r="450">
      <c r="G450" s="147"/>
    </row>
    <row r="451">
      <c r="G451" s="147"/>
    </row>
    <row r="452">
      <c r="G452" s="147"/>
    </row>
    <row r="453">
      <c r="G453" s="147"/>
    </row>
    <row r="454">
      <c r="G454" s="147"/>
    </row>
    <row r="455">
      <c r="G455" s="147"/>
    </row>
    <row r="456">
      <c r="G456" s="147"/>
    </row>
    <row r="457">
      <c r="G457" s="147"/>
    </row>
    <row r="458">
      <c r="G458" s="147"/>
    </row>
    <row r="459">
      <c r="G459" s="147"/>
    </row>
    <row r="460">
      <c r="G460" s="147"/>
    </row>
    <row r="461">
      <c r="G461" s="147"/>
    </row>
    <row r="462">
      <c r="G462" s="147"/>
    </row>
    <row r="463">
      <c r="G463" s="147"/>
    </row>
    <row r="464">
      <c r="G464" s="147"/>
    </row>
    <row r="465">
      <c r="G465" s="147"/>
    </row>
    <row r="466">
      <c r="G466" s="147"/>
    </row>
    <row r="467">
      <c r="G467" s="147"/>
    </row>
    <row r="468">
      <c r="G468" s="147"/>
    </row>
    <row r="469">
      <c r="G469" s="147"/>
    </row>
    <row r="470">
      <c r="G470" s="147"/>
    </row>
    <row r="471">
      <c r="G471" s="147"/>
    </row>
    <row r="472">
      <c r="G472" s="147"/>
    </row>
    <row r="473">
      <c r="G473" s="147"/>
    </row>
    <row r="474">
      <c r="G474" s="147"/>
    </row>
    <row r="475">
      <c r="G475" s="147"/>
    </row>
    <row r="476">
      <c r="G476" s="147"/>
    </row>
    <row r="477">
      <c r="G477" s="147"/>
    </row>
    <row r="478">
      <c r="G478" s="147"/>
    </row>
    <row r="479">
      <c r="G479" s="147"/>
    </row>
    <row r="480">
      <c r="G480" s="147"/>
    </row>
    <row r="481">
      <c r="G481" s="147"/>
    </row>
    <row r="482">
      <c r="G482" s="147"/>
    </row>
    <row r="483">
      <c r="G483" s="147"/>
    </row>
    <row r="484">
      <c r="G484" s="147"/>
    </row>
    <row r="485">
      <c r="G485" s="147"/>
    </row>
    <row r="486">
      <c r="G486" s="147"/>
    </row>
    <row r="487">
      <c r="G487" s="147"/>
    </row>
    <row r="488">
      <c r="G488" s="147"/>
    </row>
    <row r="489">
      <c r="G489" s="147"/>
    </row>
    <row r="490">
      <c r="G490" s="147"/>
    </row>
    <row r="491">
      <c r="G491" s="147"/>
    </row>
    <row r="492">
      <c r="G492" s="147"/>
    </row>
    <row r="493">
      <c r="G493" s="147"/>
    </row>
    <row r="494">
      <c r="G494" s="147"/>
    </row>
    <row r="495">
      <c r="G495" s="147"/>
    </row>
    <row r="496">
      <c r="G496" s="147"/>
    </row>
    <row r="497">
      <c r="G497" s="147"/>
    </row>
    <row r="498">
      <c r="G498" s="147"/>
    </row>
    <row r="499">
      <c r="G499" s="147"/>
    </row>
    <row r="500">
      <c r="G500" s="147"/>
    </row>
    <row r="501">
      <c r="G501" s="147"/>
    </row>
    <row r="502">
      <c r="G502" s="147"/>
    </row>
    <row r="503">
      <c r="G503" s="147"/>
    </row>
    <row r="504">
      <c r="G504" s="147"/>
    </row>
    <row r="505">
      <c r="G505" s="147"/>
    </row>
    <row r="506">
      <c r="G506" s="147"/>
    </row>
    <row r="507">
      <c r="G507" s="147"/>
    </row>
    <row r="508">
      <c r="G508" s="147"/>
    </row>
    <row r="509">
      <c r="G509" s="147"/>
    </row>
    <row r="510">
      <c r="G510" s="147"/>
    </row>
    <row r="511">
      <c r="G511" s="147"/>
    </row>
    <row r="512">
      <c r="G512" s="147"/>
    </row>
    <row r="513">
      <c r="G513" s="147"/>
    </row>
    <row r="514">
      <c r="G514" s="147"/>
    </row>
    <row r="515">
      <c r="G515" s="147"/>
    </row>
    <row r="516">
      <c r="G516" s="147"/>
    </row>
    <row r="517">
      <c r="G517" s="147"/>
    </row>
    <row r="518">
      <c r="G518" s="147"/>
    </row>
    <row r="519">
      <c r="G519" s="147"/>
    </row>
    <row r="520">
      <c r="G520" s="147"/>
    </row>
    <row r="521">
      <c r="G521" s="147"/>
    </row>
    <row r="522">
      <c r="G522" s="147"/>
    </row>
    <row r="523">
      <c r="G523" s="147"/>
    </row>
    <row r="524">
      <c r="G524" s="147"/>
    </row>
    <row r="525">
      <c r="G525" s="147"/>
    </row>
    <row r="526">
      <c r="G526" s="147"/>
    </row>
    <row r="527">
      <c r="G527" s="147"/>
    </row>
    <row r="528">
      <c r="G528" s="147"/>
    </row>
    <row r="529">
      <c r="G529" s="147"/>
    </row>
    <row r="530">
      <c r="G530" s="147"/>
    </row>
    <row r="531">
      <c r="G531" s="147"/>
    </row>
    <row r="532">
      <c r="G532" s="147"/>
    </row>
    <row r="533">
      <c r="G533" s="147"/>
    </row>
    <row r="534">
      <c r="G534" s="147"/>
    </row>
    <row r="535">
      <c r="G535" s="147"/>
    </row>
    <row r="536">
      <c r="G536" s="147"/>
    </row>
    <row r="537">
      <c r="G537" s="147"/>
    </row>
    <row r="538">
      <c r="G538" s="147"/>
    </row>
    <row r="539">
      <c r="G539" s="147"/>
    </row>
    <row r="540">
      <c r="G540" s="147"/>
    </row>
    <row r="541">
      <c r="G541" s="147"/>
    </row>
    <row r="542">
      <c r="G542" s="147"/>
    </row>
    <row r="543">
      <c r="G543" s="147"/>
    </row>
    <row r="544">
      <c r="G544" s="147"/>
    </row>
    <row r="545">
      <c r="G545" s="147"/>
    </row>
    <row r="546">
      <c r="G546" s="147"/>
    </row>
    <row r="547">
      <c r="G547" s="147"/>
    </row>
    <row r="548">
      <c r="G548" s="147"/>
    </row>
    <row r="549">
      <c r="G549" s="147"/>
    </row>
    <row r="550">
      <c r="G550" s="147"/>
    </row>
    <row r="551">
      <c r="G551" s="147"/>
    </row>
    <row r="552">
      <c r="G552" s="147"/>
    </row>
    <row r="553">
      <c r="G553" s="147"/>
    </row>
    <row r="554">
      <c r="G554" s="147"/>
    </row>
    <row r="555">
      <c r="G555" s="147"/>
    </row>
    <row r="556">
      <c r="G556" s="147"/>
    </row>
    <row r="557">
      <c r="G557" s="147"/>
    </row>
    <row r="558">
      <c r="G558" s="147"/>
    </row>
    <row r="559">
      <c r="G559" s="147"/>
    </row>
    <row r="560">
      <c r="G560" s="147"/>
    </row>
    <row r="561">
      <c r="G561" s="147"/>
    </row>
    <row r="562">
      <c r="G562" s="147"/>
    </row>
    <row r="563">
      <c r="G563" s="147"/>
    </row>
    <row r="564">
      <c r="G564" s="147"/>
    </row>
    <row r="565">
      <c r="G565" s="147"/>
    </row>
    <row r="566">
      <c r="G566" s="147"/>
    </row>
    <row r="567">
      <c r="G567" s="147"/>
    </row>
    <row r="568">
      <c r="G568" s="147"/>
    </row>
    <row r="569">
      <c r="G569" s="147"/>
    </row>
    <row r="570">
      <c r="G570" s="147"/>
    </row>
    <row r="571">
      <c r="G571" s="147"/>
    </row>
    <row r="572">
      <c r="G572" s="147"/>
    </row>
    <row r="573">
      <c r="G573" s="147"/>
    </row>
    <row r="574">
      <c r="G574" s="147"/>
    </row>
    <row r="575">
      <c r="G575" s="147"/>
    </row>
    <row r="576">
      <c r="G576" s="147"/>
    </row>
    <row r="577">
      <c r="G577" s="147"/>
    </row>
    <row r="578">
      <c r="G578" s="147"/>
    </row>
    <row r="579">
      <c r="G579" s="147"/>
    </row>
    <row r="580">
      <c r="G580" s="147"/>
    </row>
    <row r="581">
      <c r="G581" s="147"/>
    </row>
    <row r="582">
      <c r="G582" s="147"/>
    </row>
    <row r="583">
      <c r="G583" s="147"/>
    </row>
    <row r="584">
      <c r="G584" s="147"/>
    </row>
    <row r="585">
      <c r="G585" s="147"/>
    </row>
    <row r="586">
      <c r="G586" s="147"/>
    </row>
    <row r="587">
      <c r="G587" s="147"/>
    </row>
    <row r="588">
      <c r="G588" s="147"/>
    </row>
    <row r="589">
      <c r="G589" s="147"/>
    </row>
    <row r="590">
      <c r="G590" s="147"/>
    </row>
    <row r="591">
      <c r="G591" s="147"/>
    </row>
    <row r="592">
      <c r="G592" s="147"/>
    </row>
    <row r="593">
      <c r="G593" s="147"/>
    </row>
    <row r="594">
      <c r="G594" s="147"/>
    </row>
    <row r="595">
      <c r="G595" s="147"/>
    </row>
    <row r="596">
      <c r="G596" s="147"/>
    </row>
    <row r="597">
      <c r="G597" s="147"/>
    </row>
    <row r="598">
      <c r="G598" s="147"/>
    </row>
    <row r="599">
      <c r="G599" s="147"/>
    </row>
    <row r="600">
      <c r="G600" s="147"/>
    </row>
    <row r="601">
      <c r="G601" s="147"/>
    </row>
    <row r="602">
      <c r="G602" s="147"/>
    </row>
    <row r="603">
      <c r="G603" s="147"/>
    </row>
    <row r="604">
      <c r="G604" s="147"/>
    </row>
    <row r="605">
      <c r="G605" s="147"/>
    </row>
    <row r="606">
      <c r="G606" s="147"/>
    </row>
    <row r="607">
      <c r="G607" s="147"/>
    </row>
    <row r="608">
      <c r="G608" s="147"/>
    </row>
    <row r="609">
      <c r="G609" s="147"/>
    </row>
    <row r="610">
      <c r="G610" s="147"/>
    </row>
    <row r="611">
      <c r="G611" s="147"/>
    </row>
    <row r="612">
      <c r="G612" s="147"/>
    </row>
    <row r="613">
      <c r="G613" s="147"/>
    </row>
    <row r="614">
      <c r="G614" s="147"/>
    </row>
    <row r="615">
      <c r="G615" s="147"/>
    </row>
    <row r="616">
      <c r="G616" s="147"/>
    </row>
    <row r="617">
      <c r="G617" s="147"/>
    </row>
    <row r="618">
      <c r="G618" s="147"/>
    </row>
    <row r="619">
      <c r="G619" s="147"/>
    </row>
    <row r="620">
      <c r="G620" s="147"/>
    </row>
    <row r="621">
      <c r="G621" s="147"/>
    </row>
    <row r="622">
      <c r="G622" s="147"/>
    </row>
    <row r="623">
      <c r="G623" s="147"/>
    </row>
    <row r="624">
      <c r="G624" s="147"/>
    </row>
    <row r="625">
      <c r="G625" s="147"/>
    </row>
    <row r="626">
      <c r="G626" s="147"/>
    </row>
    <row r="627">
      <c r="G627" s="147"/>
    </row>
    <row r="628">
      <c r="G628" s="147"/>
    </row>
    <row r="629">
      <c r="G629" s="147"/>
    </row>
    <row r="630">
      <c r="G630" s="147"/>
    </row>
    <row r="631">
      <c r="G631" s="147"/>
    </row>
    <row r="632">
      <c r="G632" s="147"/>
    </row>
    <row r="633">
      <c r="G633" s="147"/>
    </row>
    <row r="634">
      <c r="G634" s="147"/>
    </row>
    <row r="635">
      <c r="G635" s="147"/>
    </row>
    <row r="636">
      <c r="G636" s="147"/>
    </row>
    <row r="637">
      <c r="G637" s="147"/>
    </row>
    <row r="638">
      <c r="G638" s="147"/>
    </row>
    <row r="639">
      <c r="G639" s="147"/>
    </row>
    <row r="640">
      <c r="G640" s="147"/>
    </row>
    <row r="641">
      <c r="G641" s="147"/>
    </row>
    <row r="642">
      <c r="G642" s="147"/>
    </row>
    <row r="643">
      <c r="G643" s="147"/>
    </row>
    <row r="644">
      <c r="G644" s="147"/>
    </row>
    <row r="645">
      <c r="G645" s="147"/>
    </row>
    <row r="646">
      <c r="G646" s="147"/>
    </row>
    <row r="647">
      <c r="G647" s="147"/>
    </row>
    <row r="648">
      <c r="G648" s="147"/>
    </row>
    <row r="649">
      <c r="G649" s="147"/>
    </row>
    <row r="650">
      <c r="G650" s="147"/>
    </row>
    <row r="651">
      <c r="G651" s="147"/>
    </row>
    <row r="652">
      <c r="G652" s="147"/>
    </row>
    <row r="653">
      <c r="G653" s="147"/>
    </row>
    <row r="654">
      <c r="G654" s="147"/>
    </row>
    <row r="655">
      <c r="G655" s="147"/>
    </row>
    <row r="656">
      <c r="G656" s="147"/>
    </row>
    <row r="657">
      <c r="G657" s="147"/>
    </row>
    <row r="658">
      <c r="G658" s="147"/>
    </row>
    <row r="659">
      <c r="G659" s="147"/>
    </row>
    <row r="660">
      <c r="G660" s="147"/>
    </row>
    <row r="661">
      <c r="G661" s="147"/>
    </row>
    <row r="662">
      <c r="G662" s="147"/>
    </row>
    <row r="663">
      <c r="G663" s="147"/>
    </row>
    <row r="664">
      <c r="G664" s="147"/>
    </row>
    <row r="665">
      <c r="G665" s="147"/>
    </row>
    <row r="666">
      <c r="G666" s="147"/>
    </row>
    <row r="667">
      <c r="G667" s="147"/>
    </row>
    <row r="668">
      <c r="G668" s="147"/>
    </row>
    <row r="669">
      <c r="G669" s="147"/>
    </row>
    <row r="670">
      <c r="G670" s="147"/>
    </row>
    <row r="671">
      <c r="G671" s="147"/>
    </row>
    <row r="672">
      <c r="G672" s="147"/>
    </row>
    <row r="673">
      <c r="G673" s="147"/>
    </row>
    <row r="674">
      <c r="G674" s="147"/>
    </row>
    <row r="675">
      <c r="G675" s="147"/>
    </row>
    <row r="676">
      <c r="G676" s="147"/>
    </row>
    <row r="677">
      <c r="G677" s="147"/>
    </row>
    <row r="678">
      <c r="G678" s="147"/>
    </row>
    <row r="679">
      <c r="G679" s="147"/>
    </row>
    <row r="680">
      <c r="G680" s="147"/>
    </row>
    <row r="681">
      <c r="G681" s="147"/>
    </row>
    <row r="682">
      <c r="G682" s="147"/>
    </row>
    <row r="683">
      <c r="G683" s="147"/>
    </row>
    <row r="684">
      <c r="G684" s="147"/>
    </row>
    <row r="685">
      <c r="G685" s="147"/>
    </row>
    <row r="686">
      <c r="G686" s="147"/>
    </row>
    <row r="687">
      <c r="G687" s="147"/>
    </row>
    <row r="688">
      <c r="G688" s="147"/>
    </row>
    <row r="689">
      <c r="G689" s="147"/>
    </row>
    <row r="690">
      <c r="G690" s="147"/>
    </row>
    <row r="691">
      <c r="G691" s="147"/>
    </row>
    <row r="692">
      <c r="G692" s="147"/>
    </row>
    <row r="693">
      <c r="G693" s="147"/>
    </row>
    <row r="694">
      <c r="G694" s="147"/>
    </row>
    <row r="695">
      <c r="G695" s="147"/>
    </row>
    <row r="696">
      <c r="G696" s="147"/>
    </row>
    <row r="697">
      <c r="G697" s="147"/>
    </row>
    <row r="698">
      <c r="G698" s="147"/>
    </row>
    <row r="699">
      <c r="G699" s="147"/>
    </row>
    <row r="700">
      <c r="G700" s="147"/>
    </row>
    <row r="701">
      <c r="G701" s="147"/>
    </row>
    <row r="702">
      <c r="G702" s="147"/>
    </row>
    <row r="703">
      <c r="G703" s="147"/>
    </row>
    <row r="704">
      <c r="G704" s="147"/>
    </row>
    <row r="705">
      <c r="G705" s="147"/>
    </row>
    <row r="706">
      <c r="G706" s="147"/>
    </row>
    <row r="707">
      <c r="G707" s="147"/>
    </row>
    <row r="708">
      <c r="G708" s="147"/>
    </row>
    <row r="709">
      <c r="G709" s="147"/>
    </row>
    <row r="710">
      <c r="G710" s="147"/>
    </row>
    <row r="711">
      <c r="G711" s="147"/>
    </row>
    <row r="712">
      <c r="G712" s="147"/>
    </row>
    <row r="713">
      <c r="G713" s="147"/>
    </row>
    <row r="714">
      <c r="G714" s="147"/>
    </row>
    <row r="715">
      <c r="G715" s="147"/>
    </row>
    <row r="716">
      <c r="G716" s="147"/>
    </row>
    <row r="717">
      <c r="G717" s="147"/>
    </row>
    <row r="718">
      <c r="G718" s="147"/>
    </row>
    <row r="719">
      <c r="G719" s="147"/>
    </row>
    <row r="720">
      <c r="G720" s="147"/>
    </row>
    <row r="721">
      <c r="G721" s="147"/>
    </row>
    <row r="722">
      <c r="G722" s="147"/>
    </row>
    <row r="723">
      <c r="G723" s="147"/>
    </row>
    <row r="724">
      <c r="G724" s="147"/>
    </row>
    <row r="725">
      <c r="G725" s="147"/>
    </row>
    <row r="726">
      <c r="G726" s="147"/>
    </row>
    <row r="727">
      <c r="G727" s="147"/>
    </row>
    <row r="728">
      <c r="G728" s="147"/>
    </row>
    <row r="729">
      <c r="G729" s="147"/>
    </row>
    <row r="730">
      <c r="G730" s="147"/>
    </row>
    <row r="731">
      <c r="G731" s="147"/>
    </row>
    <row r="732">
      <c r="G732" s="147"/>
    </row>
    <row r="733">
      <c r="G733" s="147"/>
    </row>
    <row r="734">
      <c r="G734" s="147"/>
    </row>
    <row r="735">
      <c r="G735" s="147"/>
    </row>
    <row r="736">
      <c r="G736" s="147"/>
    </row>
    <row r="737">
      <c r="G737" s="147"/>
    </row>
    <row r="738">
      <c r="G738" s="147"/>
    </row>
    <row r="739">
      <c r="G739" s="147"/>
    </row>
    <row r="740">
      <c r="G740" s="147"/>
    </row>
    <row r="741">
      <c r="G741" s="147"/>
    </row>
    <row r="742">
      <c r="G742" s="147"/>
    </row>
    <row r="743">
      <c r="G743" s="147"/>
    </row>
    <row r="744">
      <c r="G744" s="147"/>
    </row>
    <row r="745">
      <c r="G745" s="147"/>
    </row>
    <row r="746">
      <c r="G746" s="147"/>
    </row>
    <row r="747">
      <c r="G747" s="147"/>
    </row>
    <row r="748">
      <c r="G748" s="147"/>
    </row>
    <row r="749">
      <c r="G749" s="147"/>
    </row>
    <row r="750">
      <c r="G750" s="147"/>
    </row>
    <row r="751">
      <c r="G751" s="147"/>
    </row>
    <row r="752">
      <c r="G752" s="147"/>
    </row>
    <row r="753">
      <c r="G753" s="147"/>
    </row>
    <row r="754">
      <c r="G754" s="147"/>
    </row>
    <row r="755">
      <c r="G755" s="147"/>
    </row>
    <row r="756">
      <c r="G756" s="147"/>
    </row>
    <row r="757">
      <c r="G757" s="147"/>
    </row>
    <row r="758">
      <c r="G758" s="147"/>
    </row>
    <row r="759">
      <c r="G759" s="147"/>
    </row>
    <row r="760">
      <c r="G760" s="147"/>
    </row>
    <row r="761">
      <c r="G761" s="147"/>
    </row>
    <row r="762">
      <c r="G762" s="147"/>
    </row>
    <row r="763">
      <c r="G763" s="147"/>
    </row>
    <row r="764">
      <c r="G764" s="147"/>
    </row>
    <row r="765">
      <c r="G765" s="147"/>
    </row>
    <row r="766">
      <c r="G766" s="147"/>
    </row>
    <row r="767">
      <c r="G767" s="147"/>
    </row>
    <row r="768">
      <c r="G768" s="147"/>
    </row>
    <row r="769">
      <c r="G769" s="147"/>
    </row>
    <row r="770">
      <c r="G770" s="147"/>
    </row>
    <row r="771">
      <c r="G771" s="147"/>
    </row>
    <row r="772">
      <c r="G772" s="147"/>
    </row>
    <row r="773">
      <c r="G773" s="147"/>
    </row>
    <row r="774">
      <c r="G774" s="147"/>
    </row>
    <row r="775">
      <c r="G775" s="147"/>
    </row>
    <row r="776">
      <c r="G776" s="147"/>
    </row>
    <row r="777">
      <c r="G777" s="147"/>
    </row>
    <row r="778">
      <c r="G778" s="147"/>
    </row>
    <row r="779">
      <c r="G779" s="147"/>
    </row>
    <row r="780">
      <c r="G780" s="147"/>
    </row>
    <row r="781">
      <c r="G781" s="147"/>
    </row>
    <row r="782">
      <c r="G782" s="147"/>
    </row>
    <row r="783">
      <c r="G783" s="147"/>
    </row>
    <row r="784">
      <c r="G784" s="147"/>
    </row>
    <row r="785">
      <c r="G785" s="147"/>
    </row>
    <row r="786">
      <c r="G786" s="147"/>
    </row>
    <row r="787">
      <c r="G787" s="147"/>
    </row>
    <row r="788">
      <c r="G788" s="147"/>
    </row>
    <row r="789">
      <c r="G789" s="147"/>
    </row>
    <row r="790">
      <c r="G790" s="147"/>
    </row>
    <row r="791">
      <c r="G791" s="147"/>
    </row>
    <row r="792">
      <c r="G792" s="147"/>
    </row>
    <row r="793">
      <c r="G793" s="147"/>
    </row>
    <row r="794">
      <c r="G794" s="147"/>
    </row>
    <row r="795">
      <c r="G795" s="147"/>
    </row>
    <row r="796">
      <c r="G796" s="147"/>
    </row>
    <row r="797">
      <c r="G797" s="147"/>
    </row>
    <row r="798">
      <c r="G798" s="147"/>
    </row>
    <row r="799">
      <c r="G799" s="147"/>
    </row>
    <row r="800">
      <c r="G800" s="147"/>
    </row>
    <row r="801">
      <c r="G801" s="147"/>
    </row>
    <row r="802">
      <c r="G802" s="147"/>
    </row>
    <row r="803">
      <c r="G803" s="147"/>
    </row>
    <row r="804">
      <c r="G804" s="147"/>
    </row>
    <row r="805">
      <c r="G805" s="147"/>
    </row>
    <row r="806">
      <c r="G806" s="147"/>
    </row>
    <row r="807">
      <c r="G807" s="147"/>
    </row>
    <row r="808">
      <c r="G808" s="147"/>
    </row>
    <row r="809">
      <c r="G809" s="147"/>
    </row>
    <row r="810">
      <c r="G810" s="147"/>
    </row>
    <row r="811">
      <c r="G811" s="147"/>
    </row>
    <row r="812">
      <c r="G812" s="147"/>
    </row>
    <row r="813">
      <c r="G813" s="147"/>
    </row>
    <row r="814">
      <c r="G814" s="147"/>
    </row>
    <row r="815">
      <c r="G815" s="147"/>
    </row>
    <row r="816">
      <c r="G816" s="147"/>
    </row>
    <row r="817">
      <c r="G817" s="147"/>
    </row>
    <row r="818">
      <c r="G818" s="147"/>
    </row>
    <row r="819">
      <c r="G819" s="147"/>
    </row>
    <row r="820">
      <c r="G820" s="147"/>
    </row>
    <row r="821">
      <c r="G821" s="147"/>
    </row>
    <row r="822">
      <c r="G822" s="147"/>
    </row>
    <row r="823">
      <c r="G823" s="147"/>
    </row>
    <row r="824">
      <c r="G824" s="147"/>
    </row>
    <row r="825">
      <c r="G825" s="147"/>
    </row>
    <row r="826">
      <c r="G826" s="147"/>
    </row>
    <row r="827">
      <c r="G827" s="147"/>
    </row>
    <row r="828">
      <c r="G828" s="147"/>
    </row>
    <row r="829">
      <c r="G829" s="147"/>
    </row>
    <row r="830">
      <c r="G830" s="147"/>
    </row>
    <row r="831">
      <c r="G831" s="147"/>
    </row>
    <row r="832">
      <c r="G832" s="147"/>
    </row>
    <row r="833">
      <c r="G833" s="147"/>
    </row>
    <row r="834">
      <c r="G834" s="147"/>
    </row>
    <row r="835">
      <c r="G835" s="147"/>
    </row>
    <row r="836">
      <c r="G836" s="147"/>
    </row>
    <row r="837">
      <c r="G837" s="147"/>
    </row>
    <row r="838">
      <c r="G838" s="147"/>
    </row>
    <row r="839">
      <c r="G839" s="147"/>
    </row>
    <row r="840">
      <c r="G840" s="147"/>
    </row>
    <row r="841">
      <c r="G841" s="147"/>
    </row>
    <row r="842">
      <c r="G842" s="147"/>
    </row>
    <row r="843">
      <c r="G843" s="147"/>
    </row>
    <row r="844">
      <c r="G844" s="147"/>
    </row>
    <row r="845">
      <c r="G845" s="147"/>
    </row>
    <row r="846">
      <c r="G846" s="147"/>
    </row>
    <row r="847">
      <c r="G847" s="147"/>
    </row>
    <row r="848">
      <c r="G848" s="147"/>
    </row>
    <row r="849">
      <c r="G849" s="147"/>
    </row>
    <row r="850">
      <c r="G850" s="147"/>
    </row>
    <row r="851">
      <c r="G851" s="147"/>
    </row>
    <row r="852">
      <c r="G852" s="147"/>
    </row>
    <row r="853">
      <c r="G853" s="147"/>
    </row>
    <row r="854">
      <c r="G854" s="147"/>
    </row>
    <row r="855">
      <c r="G855" s="147"/>
    </row>
    <row r="856">
      <c r="G856" s="147"/>
    </row>
    <row r="857">
      <c r="G857" s="147"/>
    </row>
    <row r="858">
      <c r="G858" s="147"/>
    </row>
    <row r="859">
      <c r="G859" s="147"/>
    </row>
    <row r="860">
      <c r="G860" s="147"/>
    </row>
    <row r="861">
      <c r="G861" s="147"/>
    </row>
    <row r="862">
      <c r="G862" s="147"/>
    </row>
    <row r="863">
      <c r="G863" s="147"/>
    </row>
    <row r="864">
      <c r="G864" s="147"/>
    </row>
    <row r="865">
      <c r="G865" s="147"/>
    </row>
    <row r="866">
      <c r="G866" s="147"/>
    </row>
    <row r="867">
      <c r="G867" s="147"/>
    </row>
    <row r="868">
      <c r="G868" s="147"/>
    </row>
    <row r="869">
      <c r="G869" s="147"/>
    </row>
    <row r="870">
      <c r="G870" s="147"/>
    </row>
    <row r="871">
      <c r="G871" s="147"/>
    </row>
    <row r="872">
      <c r="G872" s="147"/>
    </row>
    <row r="873">
      <c r="G873" s="147"/>
    </row>
    <row r="874">
      <c r="G874" s="147"/>
    </row>
    <row r="875">
      <c r="G875" s="147"/>
    </row>
    <row r="876">
      <c r="G876" s="147"/>
    </row>
    <row r="877">
      <c r="G877" s="147"/>
    </row>
    <row r="878">
      <c r="G878" s="147"/>
    </row>
    <row r="879">
      <c r="G879" s="147"/>
    </row>
    <row r="880">
      <c r="G880" s="147"/>
    </row>
    <row r="881">
      <c r="G881" s="147"/>
    </row>
    <row r="882">
      <c r="G882" s="147"/>
    </row>
    <row r="883">
      <c r="G883" s="147"/>
    </row>
    <row r="884">
      <c r="G884" s="147"/>
    </row>
    <row r="885">
      <c r="G885" s="147"/>
    </row>
    <row r="886">
      <c r="G886" s="147"/>
    </row>
    <row r="887">
      <c r="G887" s="147"/>
    </row>
    <row r="888">
      <c r="G888" s="147"/>
    </row>
    <row r="889">
      <c r="G889" s="147"/>
    </row>
    <row r="890">
      <c r="G890" s="147"/>
    </row>
    <row r="891">
      <c r="G891" s="147"/>
    </row>
    <row r="892">
      <c r="G892" s="147"/>
    </row>
    <row r="893">
      <c r="G893" s="147"/>
    </row>
    <row r="894">
      <c r="G894" s="147"/>
    </row>
    <row r="895">
      <c r="G895" s="147"/>
    </row>
    <row r="896">
      <c r="G896" s="147"/>
    </row>
    <row r="897">
      <c r="G897" s="147"/>
    </row>
    <row r="898">
      <c r="G898" s="147"/>
    </row>
    <row r="899">
      <c r="G899" s="147"/>
    </row>
    <row r="900">
      <c r="G900" s="147"/>
    </row>
    <row r="901">
      <c r="G901" s="147"/>
    </row>
    <row r="902">
      <c r="G902" s="147"/>
    </row>
    <row r="903">
      <c r="G903" s="147"/>
    </row>
    <row r="904">
      <c r="G904" s="147"/>
    </row>
    <row r="905">
      <c r="G905" s="147"/>
    </row>
    <row r="906">
      <c r="G906" s="147"/>
    </row>
    <row r="907">
      <c r="G907" s="147"/>
    </row>
    <row r="908">
      <c r="G908" s="147"/>
    </row>
    <row r="909">
      <c r="G909" s="147"/>
    </row>
    <row r="910">
      <c r="G910" s="147"/>
    </row>
    <row r="911">
      <c r="G911" s="147"/>
    </row>
    <row r="912">
      <c r="G912" s="147"/>
    </row>
    <row r="913">
      <c r="G913" s="147"/>
    </row>
    <row r="914">
      <c r="G914" s="147"/>
    </row>
    <row r="915">
      <c r="G915" s="147"/>
    </row>
    <row r="916">
      <c r="G916" s="147"/>
    </row>
    <row r="917">
      <c r="G917" s="147"/>
    </row>
    <row r="918">
      <c r="G918" s="147"/>
    </row>
    <row r="919">
      <c r="G919" s="147"/>
    </row>
    <row r="920">
      <c r="G920" s="147"/>
    </row>
    <row r="921">
      <c r="G921" s="147"/>
    </row>
    <row r="922">
      <c r="G922" s="147"/>
    </row>
    <row r="923">
      <c r="G923" s="147"/>
    </row>
    <row r="924">
      <c r="G924" s="147"/>
    </row>
    <row r="925">
      <c r="G925" s="147"/>
    </row>
    <row r="926">
      <c r="G926" s="147"/>
    </row>
    <row r="927">
      <c r="G927" s="147"/>
    </row>
    <row r="928">
      <c r="G928" s="147"/>
    </row>
    <row r="929">
      <c r="G929" s="147"/>
    </row>
    <row r="930">
      <c r="G930" s="147"/>
    </row>
    <row r="931">
      <c r="G931" s="147"/>
    </row>
    <row r="932">
      <c r="G932" s="147"/>
    </row>
    <row r="933">
      <c r="G933" s="147"/>
    </row>
    <row r="934">
      <c r="G934" s="147"/>
    </row>
    <row r="935">
      <c r="G935" s="147"/>
    </row>
    <row r="936">
      <c r="G936" s="147"/>
    </row>
    <row r="937">
      <c r="G937" s="147"/>
    </row>
    <row r="938">
      <c r="G938" s="147"/>
    </row>
    <row r="939">
      <c r="G939" s="147"/>
    </row>
    <row r="940">
      <c r="G940" s="147"/>
    </row>
    <row r="941">
      <c r="G941" s="147"/>
    </row>
    <row r="942">
      <c r="G942" s="147"/>
    </row>
    <row r="943">
      <c r="G943" s="147"/>
    </row>
    <row r="944">
      <c r="G944" s="147"/>
    </row>
    <row r="945">
      <c r="G945" s="147"/>
    </row>
    <row r="946">
      <c r="G946" s="147"/>
    </row>
    <row r="947">
      <c r="G947" s="147"/>
    </row>
    <row r="948">
      <c r="G948" s="147"/>
    </row>
    <row r="949">
      <c r="G949" s="147"/>
    </row>
    <row r="950">
      <c r="G950" s="147"/>
    </row>
    <row r="951">
      <c r="G951" s="147"/>
    </row>
    <row r="952">
      <c r="G952" s="147"/>
    </row>
    <row r="953">
      <c r="G953" s="147"/>
    </row>
    <row r="954">
      <c r="G954" s="147"/>
    </row>
    <row r="955">
      <c r="G955" s="147"/>
    </row>
    <row r="956">
      <c r="G956" s="147"/>
    </row>
    <row r="957">
      <c r="G957" s="147"/>
    </row>
    <row r="958">
      <c r="G958" s="147"/>
    </row>
    <row r="959">
      <c r="G959" s="147"/>
    </row>
    <row r="960">
      <c r="G960" s="147"/>
    </row>
    <row r="961">
      <c r="G961" s="147"/>
    </row>
    <row r="962">
      <c r="G962" s="147"/>
    </row>
    <row r="963">
      <c r="G963" s="147"/>
    </row>
    <row r="964">
      <c r="G964" s="147"/>
    </row>
    <row r="965">
      <c r="G965" s="147"/>
    </row>
    <row r="966">
      <c r="G966" s="147"/>
    </row>
    <row r="967">
      <c r="G967" s="147"/>
    </row>
    <row r="968">
      <c r="G968" s="147"/>
    </row>
    <row r="969">
      <c r="G969" s="147"/>
    </row>
    <row r="970">
      <c r="G970" s="147"/>
    </row>
    <row r="971">
      <c r="G971" s="147"/>
    </row>
    <row r="972">
      <c r="G972" s="147"/>
    </row>
    <row r="973">
      <c r="G973" s="147"/>
    </row>
    <row r="974">
      <c r="G974" s="147"/>
    </row>
    <row r="975">
      <c r="G975" s="147"/>
    </row>
    <row r="976">
      <c r="G976" s="147"/>
    </row>
    <row r="977">
      <c r="G977" s="147"/>
    </row>
    <row r="978">
      <c r="G978" s="147"/>
    </row>
    <row r="979">
      <c r="G979" s="147"/>
    </row>
    <row r="980">
      <c r="G980" s="147"/>
    </row>
    <row r="981">
      <c r="G981" s="147"/>
    </row>
    <row r="982">
      <c r="G982" s="147"/>
    </row>
    <row r="983">
      <c r="G983" s="147"/>
    </row>
    <row r="984">
      <c r="G984" s="147"/>
    </row>
    <row r="985">
      <c r="G985" s="147"/>
    </row>
    <row r="986">
      <c r="G986" s="147"/>
    </row>
    <row r="987">
      <c r="G987" s="147"/>
    </row>
    <row r="988">
      <c r="G988" s="147"/>
    </row>
    <row r="989">
      <c r="G989" s="147"/>
    </row>
    <row r="990">
      <c r="G990" s="147"/>
    </row>
    <row r="991">
      <c r="G991" s="147"/>
    </row>
    <row r="992">
      <c r="G992" s="147"/>
    </row>
    <row r="993">
      <c r="G993" s="147"/>
    </row>
    <row r="994">
      <c r="G994" s="147"/>
    </row>
    <row r="995">
      <c r="G995" s="147"/>
    </row>
    <row r="996">
      <c r="G996" s="147"/>
    </row>
    <row r="997">
      <c r="G997" s="147"/>
    </row>
    <row r="998">
      <c r="G998" s="147"/>
    </row>
    <row r="999">
      <c r="G999" s="147"/>
    </row>
    <row r="1000">
      <c r="G1000" s="14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67.86"/>
    <col customWidth="1" min="3" max="3" width="8.0"/>
    <col customWidth="1" min="4" max="4" width="8.86"/>
    <col customWidth="1" min="5" max="5" width="8.29"/>
    <col customWidth="1" min="6" max="6" width="20.86"/>
    <col customWidth="1" min="7" max="7" width="14.57"/>
    <col customWidth="1" min="8" max="9" width="12.0"/>
    <col customWidth="1" min="10" max="10" width="6.29"/>
    <col customWidth="1" min="11" max="11" width="14.86"/>
    <col customWidth="1" min="12" max="13" width="67.86"/>
  </cols>
  <sheetData>
    <row r="1">
      <c r="A1" s="149" t="s">
        <v>0</v>
      </c>
      <c r="B1" s="149" t="s">
        <v>6665</v>
      </c>
      <c r="C1" s="150" t="s">
        <v>2</v>
      </c>
      <c r="D1" s="150" t="s">
        <v>3</v>
      </c>
      <c r="E1" s="150" t="s">
        <v>4</v>
      </c>
      <c r="F1" s="143" t="s">
        <v>6666</v>
      </c>
      <c r="G1" s="149" t="s">
        <v>6667</v>
      </c>
      <c r="H1" s="149" t="s">
        <v>14</v>
      </c>
      <c r="I1" s="151" t="s">
        <v>8</v>
      </c>
      <c r="J1" s="143" t="s">
        <v>17</v>
      </c>
      <c r="K1" s="149" t="s">
        <v>6668</v>
      </c>
      <c r="L1" s="149" t="s">
        <v>6669</v>
      </c>
      <c r="M1" s="149" t="s">
        <v>6670</v>
      </c>
      <c r="N1" s="152"/>
      <c r="O1" s="152"/>
      <c r="P1" s="152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</row>
    <row r="2">
      <c r="A2" s="154">
        <v>7.290000066134E12</v>
      </c>
      <c r="B2" s="155" t="s">
        <v>6671</v>
      </c>
      <c r="C2" s="156">
        <v>0.102</v>
      </c>
      <c r="D2" s="156">
        <v>0.175</v>
      </c>
      <c r="E2" s="156">
        <v>0.03</v>
      </c>
      <c r="F2" s="157"/>
      <c r="G2" s="157"/>
      <c r="H2" s="157"/>
      <c r="I2" s="157"/>
      <c r="J2" s="155"/>
      <c r="K2" s="54"/>
      <c r="L2" s="157" t="s">
        <v>6671</v>
      </c>
      <c r="M2" s="158" t="s">
        <v>6671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</row>
    <row r="3">
      <c r="A3" s="154">
        <v>7.290000066141E12</v>
      </c>
      <c r="B3" s="155" t="s">
        <v>6672</v>
      </c>
      <c r="C3" s="156">
        <v>0.102</v>
      </c>
      <c r="D3" s="156">
        <v>0.175</v>
      </c>
      <c r="E3" s="156">
        <v>0.03</v>
      </c>
      <c r="F3" s="157"/>
      <c r="G3" s="157"/>
      <c r="H3" s="157"/>
      <c r="I3" s="157"/>
      <c r="J3" s="155"/>
      <c r="K3" s="54"/>
      <c r="L3" s="157" t="s">
        <v>6672</v>
      </c>
      <c r="M3" s="158" t="s">
        <v>6672</v>
      </c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>
      <c r="A4" s="154">
        <v>7.290000066158E12</v>
      </c>
      <c r="B4" s="155" t="s">
        <v>6673</v>
      </c>
      <c r="C4" s="156">
        <v>0.102</v>
      </c>
      <c r="D4" s="156">
        <v>0.175</v>
      </c>
      <c r="E4" s="156">
        <v>0.03</v>
      </c>
      <c r="F4" s="157"/>
      <c r="G4" s="157"/>
      <c r="H4" s="157"/>
      <c r="I4" s="157"/>
      <c r="J4" s="155"/>
      <c r="K4" s="54"/>
      <c r="L4" s="157" t="s">
        <v>6673</v>
      </c>
      <c r="M4" s="158" t="s">
        <v>6673</v>
      </c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</row>
    <row r="5">
      <c r="A5" s="154">
        <v>7.290000066165E12</v>
      </c>
      <c r="B5" s="155" t="s">
        <v>6674</v>
      </c>
      <c r="C5" s="156">
        <v>0.102</v>
      </c>
      <c r="D5" s="156">
        <v>0.175</v>
      </c>
      <c r="E5" s="156">
        <v>0.03</v>
      </c>
      <c r="F5" s="157"/>
      <c r="G5" s="157"/>
      <c r="H5" s="157"/>
      <c r="I5" s="157"/>
      <c r="J5" s="155"/>
      <c r="K5" s="54"/>
      <c r="L5" s="157" t="s">
        <v>6674</v>
      </c>
      <c r="M5" s="158" t="s">
        <v>6674</v>
      </c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</row>
    <row r="6">
      <c r="A6" s="154">
        <v>7.290000066172E12</v>
      </c>
      <c r="B6" s="155" t="s">
        <v>6672</v>
      </c>
      <c r="C6" s="156">
        <v>0.102</v>
      </c>
      <c r="D6" s="156">
        <v>0.175</v>
      </c>
      <c r="E6" s="156">
        <v>0.03</v>
      </c>
      <c r="F6" s="157"/>
      <c r="G6" s="157"/>
      <c r="H6" s="157"/>
      <c r="I6" s="157"/>
      <c r="J6" s="155"/>
      <c r="K6" s="54"/>
      <c r="L6" s="157" t="s">
        <v>6672</v>
      </c>
      <c r="M6" s="158" t="s">
        <v>6672</v>
      </c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</row>
    <row r="7">
      <c r="A7" s="154">
        <v>7.290000066189E12</v>
      </c>
      <c r="B7" s="155" t="s">
        <v>6675</v>
      </c>
      <c r="C7" s="156">
        <v>0.14</v>
      </c>
      <c r="D7" s="156">
        <v>0.26</v>
      </c>
      <c r="E7" s="156">
        <v>0.02</v>
      </c>
      <c r="F7" s="157"/>
      <c r="G7" s="157"/>
      <c r="H7" s="157"/>
      <c r="I7" s="157"/>
      <c r="J7" s="155"/>
      <c r="K7" s="54"/>
      <c r="L7" s="157" t="s">
        <v>6675</v>
      </c>
      <c r="M7" s="158" t="s">
        <v>6675</v>
      </c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</row>
    <row r="8">
      <c r="A8" s="154">
        <v>7.290000066196E12</v>
      </c>
      <c r="B8" s="155" t="s">
        <v>6675</v>
      </c>
      <c r="C8" s="156">
        <v>0.14</v>
      </c>
      <c r="D8" s="156">
        <v>0.26</v>
      </c>
      <c r="E8" s="156">
        <v>0.07</v>
      </c>
      <c r="F8" s="157"/>
      <c r="G8" s="157"/>
      <c r="H8" s="157"/>
      <c r="I8" s="157"/>
      <c r="J8" s="155"/>
      <c r="K8" s="54"/>
      <c r="L8" s="157" t="s">
        <v>6675</v>
      </c>
      <c r="M8" s="158" t="s">
        <v>6675</v>
      </c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</row>
    <row r="9">
      <c r="A9" s="154">
        <v>7.290000066202E12</v>
      </c>
      <c r="B9" s="155" t="s">
        <v>6676</v>
      </c>
      <c r="C9" s="156">
        <v>0.14</v>
      </c>
      <c r="D9" s="156">
        <v>0.26</v>
      </c>
      <c r="E9" s="156">
        <v>0.08</v>
      </c>
      <c r="F9" s="157"/>
      <c r="G9" s="157"/>
      <c r="H9" s="157"/>
      <c r="I9" s="157"/>
      <c r="J9" s="155"/>
      <c r="K9" s="54"/>
      <c r="L9" s="157" t="s">
        <v>6676</v>
      </c>
      <c r="M9" s="158" t="s">
        <v>6676</v>
      </c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</row>
    <row r="10">
      <c r="A10" s="154">
        <v>7.290000066219E12</v>
      </c>
      <c r="B10" s="155" t="s">
        <v>6677</v>
      </c>
      <c r="C10" s="156">
        <v>0.14</v>
      </c>
      <c r="D10" s="156">
        <v>0.26</v>
      </c>
      <c r="E10" s="156">
        <v>0.08</v>
      </c>
      <c r="F10" s="157"/>
      <c r="G10" s="157"/>
      <c r="H10" s="157"/>
      <c r="I10" s="157"/>
      <c r="J10" s="155"/>
      <c r="K10" s="54"/>
      <c r="L10" s="157" t="s">
        <v>6677</v>
      </c>
      <c r="M10" s="158" t="s">
        <v>6677</v>
      </c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</row>
    <row r="11">
      <c r="A11" s="154">
        <v>7.290000066226E12</v>
      </c>
      <c r="B11" s="155" t="s">
        <v>6675</v>
      </c>
      <c r="C11" s="156">
        <v>0.14</v>
      </c>
      <c r="D11" s="156">
        <v>0.26</v>
      </c>
      <c r="E11" s="156">
        <v>0.03</v>
      </c>
      <c r="F11" s="157"/>
      <c r="G11" s="157"/>
      <c r="H11" s="157"/>
      <c r="I11" s="157"/>
      <c r="J11" s="155"/>
      <c r="K11" s="54"/>
      <c r="L11" s="157" t="s">
        <v>6675</v>
      </c>
      <c r="M11" s="158" t="s">
        <v>6675</v>
      </c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</row>
    <row r="12">
      <c r="A12" s="154">
        <v>7.290000066264E12</v>
      </c>
      <c r="B12" s="155" t="s">
        <v>6678</v>
      </c>
      <c r="C12" s="156">
        <v>0.145</v>
      </c>
      <c r="D12" s="156">
        <v>0.189</v>
      </c>
      <c r="E12" s="156">
        <v>0.055</v>
      </c>
      <c r="F12" s="157"/>
      <c r="G12" s="157"/>
      <c r="H12" s="157"/>
      <c r="I12" s="157"/>
      <c r="J12" s="155"/>
      <c r="K12" s="54"/>
      <c r="L12" s="157" t="s">
        <v>6678</v>
      </c>
      <c r="M12" s="158" t="s">
        <v>6678</v>
      </c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</row>
    <row r="13">
      <c r="A13" s="154">
        <v>7.290000066318E12</v>
      </c>
      <c r="B13" s="155" t="s">
        <v>6679</v>
      </c>
      <c r="C13" s="156">
        <v>0.128</v>
      </c>
      <c r="D13" s="156">
        <v>0.23</v>
      </c>
      <c r="E13" s="156">
        <v>0.056</v>
      </c>
      <c r="F13" s="157"/>
      <c r="G13" s="157"/>
      <c r="H13" s="157"/>
      <c r="I13" s="157"/>
      <c r="J13" s="155"/>
      <c r="K13" s="54"/>
      <c r="L13" s="157" t="s">
        <v>6679</v>
      </c>
      <c r="M13" s="158" t="s">
        <v>6679</v>
      </c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</row>
    <row r="14">
      <c r="A14" s="154">
        <v>7.290000066332E12</v>
      </c>
      <c r="B14" s="155" t="s">
        <v>6680</v>
      </c>
      <c r="C14" s="156">
        <v>0.125</v>
      </c>
      <c r="D14" s="156">
        <v>0.1665</v>
      </c>
      <c r="E14" s="156">
        <v>0.06</v>
      </c>
      <c r="F14" s="157"/>
      <c r="G14" s="157"/>
      <c r="H14" s="157"/>
      <c r="I14" s="157"/>
      <c r="J14" s="155"/>
      <c r="K14" s="54"/>
      <c r="L14" s="157" t="s">
        <v>6680</v>
      </c>
      <c r="M14" s="158" t="s">
        <v>6680</v>
      </c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</row>
    <row r="15">
      <c r="A15" s="154">
        <v>7.290000066349E12</v>
      </c>
      <c r="B15" s="155" t="s">
        <v>6681</v>
      </c>
      <c r="C15" s="156">
        <v>0.145</v>
      </c>
      <c r="D15" s="156">
        <v>0.225</v>
      </c>
      <c r="E15" s="156">
        <v>0.06</v>
      </c>
      <c r="F15" s="157"/>
      <c r="G15" s="157"/>
      <c r="H15" s="157"/>
      <c r="I15" s="157"/>
      <c r="J15" s="155"/>
      <c r="K15" s="54"/>
      <c r="L15" s="157" t="s">
        <v>6681</v>
      </c>
      <c r="M15" s="158" t="s">
        <v>6681</v>
      </c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</row>
    <row r="16">
      <c r="A16" s="154">
        <v>7.290000066431E12</v>
      </c>
      <c r="B16" s="155" t="s">
        <v>6682</v>
      </c>
      <c r="C16" s="156">
        <v>0.14</v>
      </c>
      <c r="D16" s="156">
        <v>0.18</v>
      </c>
      <c r="E16" s="156">
        <v>0.012</v>
      </c>
      <c r="F16" s="157"/>
      <c r="G16" s="157"/>
      <c r="H16" s="157"/>
      <c r="I16" s="157"/>
      <c r="J16" s="155"/>
      <c r="K16" s="54"/>
      <c r="L16" s="157" t="s">
        <v>6682</v>
      </c>
      <c r="M16" s="158" t="s">
        <v>6682</v>
      </c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</row>
    <row r="17">
      <c r="A17" s="154">
        <v>7.29000006877E12</v>
      </c>
      <c r="B17" s="155" t="s">
        <v>6683</v>
      </c>
      <c r="C17" s="156">
        <v>0.128</v>
      </c>
      <c r="D17" s="156">
        <v>0.23</v>
      </c>
      <c r="E17" s="156">
        <v>0.056</v>
      </c>
      <c r="F17" s="157"/>
      <c r="G17" s="157"/>
      <c r="H17" s="157"/>
      <c r="I17" s="157"/>
      <c r="J17" s="155"/>
      <c r="K17" s="54"/>
      <c r="L17" s="157" t="s">
        <v>6683</v>
      </c>
      <c r="M17" s="158" t="s">
        <v>6683</v>
      </c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</row>
    <row r="18">
      <c r="A18" s="154">
        <v>7.290006653857E12</v>
      </c>
      <c r="B18" s="155" t="s">
        <v>6684</v>
      </c>
      <c r="C18" s="156">
        <v>0.145</v>
      </c>
      <c r="D18" s="156">
        <v>0.189</v>
      </c>
      <c r="E18" s="156">
        <v>0.055</v>
      </c>
      <c r="F18" s="157"/>
      <c r="G18" s="157"/>
      <c r="H18" s="157"/>
      <c r="I18" s="157"/>
      <c r="J18" s="155"/>
      <c r="K18" s="54"/>
      <c r="L18" s="157" t="s">
        <v>6684</v>
      </c>
      <c r="M18" s="158" t="s">
        <v>6684</v>
      </c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</row>
    <row r="19">
      <c r="A19" s="156">
        <v>7.290000178707E12</v>
      </c>
      <c r="B19" s="157" t="s">
        <v>6685</v>
      </c>
      <c r="C19" s="156">
        <v>0.133</v>
      </c>
      <c r="D19" s="156">
        <v>0.18</v>
      </c>
      <c r="E19" s="156">
        <v>0.06</v>
      </c>
      <c r="F19" s="157"/>
      <c r="G19" s="157"/>
      <c r="H19" s="157"/>
      <c r="I19" s="157"/>
      <c r="J19" s="157"/>
      <c r="K19" s="54"/>
      <c r="L19" s="157" t="s">
        <v>6685</v>
      </c>
      <c r="M19" s="159" t="s">
        <v>6685</v>
      </c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</row>
    <row r="20">
      <c r="A20" s="156">
        <v>7.290000178721E12</v>
      </c>
      <c r="B20" s="157" t="s">
        <v>6686</v>
      </c>
      <c r="C20" s="156">
        <v>0.1675</v>
      </c>
      <c r="D20" s="156">
        <v>0.3</v>
      </c>
      <c r="E20" s="156">
        <v>0.06</v>
      </c>
      <c r="F20" s="157"/>
      <c r="G20" s="157"/>
      <c r="H20" s="157"/>
      <c r="I20" s="157"/>
      <c r="J20" s="157"/>
      <c r="K20" s="54"/>
      <c r="L20" s="157" t="s">
        <v>6686</v>
      </c>
      <c r="M20" s="159" t="s">
        <v>6686</v>
      </c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</row>
    <row r="21">
      <c r="A21" s="156">
        <v>7.290005200786E12</v>
      </c>
      <c r="B21" s="157" t="s">
        <v>6687</v>
      </c>
      <c r="C21" s="156">
        <v>0.133</v>
      </c>
      <c r="D21" s="156">
        <v>0.18</v>
      </c>
      <c r="E21" s="156">
        <v>0.06</v>
      </c>
      <c r="F21" s="157"/>
      <c r="G21" s="157"/>
      <c r="H21" s="157"/>
      <c r="I21" s="157"/>
      <c r="J21" s="157"/>
      <c r="K21" s="54"/>
      <c r="L21" s="157" t="s">
        <v>6687</v>
      </c>
      <c r="M21" s="159" t="s">
        <v>6687</v>
      </c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</row>
    <row r="22">
      <c r="A22" s="156">
        <v>7.290010117864E12</v>
      </c>
      <c r="B22" s="156" t="s">
        <v>1102</v>
      </c>
      <c r="C22" s="156">
        <v>0.133</v>
      </c>
      <c r="D22" s="156">
        <v>0.21</v>
      </c>
      <c r="E22" s="156">
        <v>0.05</v>
      </c>
      <c r="F22" s="157"/>
      <c r="G22" s="157"/>
      <c r="H22" s="157"/>
      <c r="I22" s="157"/>
      <c r="J22" s="157"/>
      <c r="K22" s="54"/>
      <c r="L22" s="160" t="s">
        <v>1102</v>
      </c>
      <c r="M22" s="156" t="s">
        <v>1102</v>
      </c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</row>
    <row r="23">
      <c r="A23" s="156">
        <v>7.290100850916E12</v>
      </c>
      <c r="B23" s="156" t="s">
        <v>1112</v>
      </c>
      <c r="C23" s="156">
        <v>0.133</v>
      </c>
      <c r="D23" s="156">
        <v>0.21</v>
      </c>
      <c r="E23" s="156">
        <v>0.05</v>
      </c>
      <c r="F23" s="157"/>
      <c r="G23" s="157"/>
      <c r="H23" s="157"/>
      <c r="I23" s="157"/>
      <c r="J23" s="157"/>
      <c r="K23" s="54"/>
      <c r="L23" s="160" t="s">
        <v>1112</v>
      </c>
      <c r="M23" s="156" t="s">
        <v>1112</v>
      </c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</row>
    <row r="24">
      <c r="A24" s="156">
        <v>7.290100850923E12</v>
      </c>
      <c r="B24" s="156" t="s">
        <v>1097</v>
      </c>
      <c r="C24" s="156">
        <v>0.133</v>
      </c>
      <c r="D24" s="156">
        <v>0.21</v>
      </c>
      <c r="E24" s="156">
        <v>0.05</v>
      </c>
      <c r="F24" s="157"/>
      <c r="G24" s="157"/>
      <c r="H24" s="157"/>
      <c r="I24" s="157"/>
      <c r="J24" s="157"/>
      <c r="K24" s="54"/>
      <c r="L24" s="160" t="s">
        <v>1097</v>
      </c>
      <c r="M24" s="156" t="s">
        <v>1097</v>
      </c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</row>
    <row r="25">
      <c r="A25" s="156">
        <v>7.29010085093E12</v>
      </c>
      <c r="B25" s="156" t="s">
        <v>1122</v>
      </c>
      <c r="C25" s="156">
        <v>0.133</v>
      </c>
      <c r="D25" s="156">
        <v>0.21</v>
      </c>
      <c r="E25" s="156">
        <v>0.05</v>
      </c>
      <c r="F25" s="157"/>
      <c r="G25" s="157"/>
      <c r="H25" s="157"/>
      <c r="I25" s="157"/>
      <c r="J25" s="157"/>
      <c r="K25" s="54"/>
      <c r="L25" s="160" t="s">
        <v>1122</v>
      </c>
      <c r="M25" s="156" t="s">
        <v>1122</v>
      </c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</row>
    <row r="26">
      <c r="A26" s="156">
        <v>7.290008745239E12</v>
      </c>
      <c r="B26" s="157" t="s">
        <v>6688</v>
      </c>
      <c r="C26" s="156">
        <v>0.133</v>
      </c>
      <c r="D26" s="156">
        <v>0.18</v>
      </c>
      <c r="E26" s="156">
        <v>0.06</v>
      </c>
      <c r="F26" s="157"/>
      <c r="G26" s="157"/>
      <c r="H26" s="157"/>
      <c r="I26" s="157"/>
      <c r="J26" s="157"/>
      <c r="K26" s="54"/>
      <c r="L26" s="157" t="s">
        <v>6688</v>
      </c>
      <c r="M26" s="159" t="s">
        <v>6688</v>
      </c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</row>
    <row r="27">
      <c r="A27" s="156">
        <v>7.290008752244E12</v>
      </c>
      <c r="B27" s="157" t="s">
        <v>6689</v>
      </c>
      <c r="C27" s="156">
        <v>0.133</v>
      </c>
      <c r="D27" s="156">
        <v>0.18</v>
      </c>
      <c r="E27" s="156">
        <v>0.06</v>
      </c>
      <c r="F27" s="157"/>
      <c r="G27" s="157"/>
      <c r="H27" s="157"/>
      <c r="I27" s="157"/>
      <c r="J27" s="157"/>
      <c r="K27" s="54"/>
      <c r="L27" s="157" t="s">
        <v>6689</v>
      </c>
      <c r="M27" s="159" t="s">
        <v>6689</v>
      </c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</row>
    <row r="28">
      <c r="A28" s="156">
        <v>7.290008753111E12</v>
      </c>
      <c r="B28" s="157" t="s">
        <v>6690</v>
      </c>
      <c r="C28" s="156">
        <v>0.133</v>
      </c>
      <c r="D28" s="156">
        <v>0.18</v>
      </c>
      <c r="E28" s="156">
        <v>0.06</v>
      </c>
      <c r="F28" s="157"/>
      <c r="G28" s="157"/>
      <c r="H28" s="157"/>
      <c r="I28" s="157"/>
      <c r="J28" s="157"/>
      <c r="K28" s="54"/>
      <c r="L28" s="157" t="s">
        <v>6690</v>
      </c>
      <c r="M28" s="159" t="s">
        <v>6690</v>
      </c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</row>
    <row r="29">
      <c r="A29" s="156">
        <v>7.290008747547E12</v>
      </c>
      <c r="B29" s="157" t="s">
        <v>6691</v>
      </c>
      <c r="C29" s="156">
        <v>0.1675</v>
      </c>
      <c r="D29" s="156">
        <v>0.3</v>
      </c>
      <c r="E29" s="156">
        <v>0.06</v>
      </c>
      <c r="F29" s="157"/>
      <c r="G29" s="157"/>
      <c r="H29" s="157"/>
      <c r="I29" s="157"/>
      <c r="J29" s="157"/>
      <c r="K29" s="54"/>
      <c r="L29" s="157" t="s">
        <v>6691</v>
      </c>
      <c r="M29" s="159" t="s">
        <v>6691</v>
      </c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</row>
    <row r="30">
      <c r="A30" s="156">
        <v>7.290104500572E12</v>
      </c>
      <c r="B30" s="156" t="s">
        <v>121</v>
      </c>
      <c r="C30" s="156">
        <v>0.125</v>
      </c>
      <c r="D30" s="156">
        <v>0.1665</v>
      </c>
      <c r="E30" s="156">
        <v>0.06</v>
      </c>
      <c r="F30" s="157"/>
      <c r="G30" s="157"/>
      <c r="H30" s="157"/>
      <c r="I30" s="157"/>
      <c r="J30" s="157"/>
      <c r="K30" s="54"/>
      <c r="L30" s="160" t="s">
        <v>121</v>
      </c>
      <c r="M30" s="156" t="s">
        <v>121</v>
      </c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</row>
    <row r="31">
      <c r="A31" s="156">
        <v>7.290104508943E12</v>
      </c>
      <c r="B31" s="156" t="s">
        <v>270</v>
      </c>
      <c r="C31" s="156">
        <v>0.19</v>
      </c>
      <c r="D31" s="156">
        <v>0.25</v>
      </c>
      <c r="E31" s="156">
        <v>0.07</v>
      </c>
      <c r="F31" s="157"/>
      <c r="G31" s="157"/>
      <c r="H31" s="157"/>
      <c r="I31" s="157"/>
      <c r="J31" s="157"/>
      <c r="K31" s="54"/>
      <c r="L31" s="160" t="s">
        <v>270</v>
      </c>
      <c r="M31" s="156" t="s">
        <v>270</v>
      </c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</row>
    <row r="32">
      <c r="A32" s="156">
        <v>7.290000110851E12</v>
      </c>
      <c r="B32" s="157" t="s">
        <v>6692</v>
      </c>
      <c r="C32" s="156">
        <v>0.14</v>
      </c>
      <c r="D32" s="156">
        <v>0.23</v>
      </c>
      <c r="E32" s="156">
        <v>0.04</v>
      </c>
      <c r="F32" s="157"/>
      <c r="G32" s="157"/>
      <c r="H32" s="157"/>
      <c r="I32" s="157"/>
      <c r="J32" s="157"/>
      <c r="K32" s="54"/>
      <c r="L32" s="157" t="s">
        <v>6692</v>
      </c>
      <c r="M32" s="159" t="s">
        <v>6692</v>
      </c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</row>
    <row r="33">
      <c r="A33" s="156">
        <v>7.290000110844E12</v>
      </c>
      <c r="B33" s="157" t="s">
        <v>6693</v>
      </c>
      <c r="C33" s="156">
        <v>0.14</v>
      </c>
      <c r="D33" s="156">
        <v>0.23</v>
      </c>
      <c r="E33" s="156">
        <v>0.04</v>
      </c>
      <c r="F33" s="157"/>
      <c r="G33" s="157"/>
      <c r="H33" s="157"/>
      <c r="I33" s="157"/>
      <c r="J33" s="157"/>
      <c r="K33" s="54"/>
      <c r="L33" s="157" t="s">
        <v>6693</v>
      </c>
      <c r="M33" s="159" t="s">
        <v>6693</v>
      </c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</row>
    <row r="34">
      <c r="A34" s="156">
        <v>7.290106528567E12</v>
      </c>
      <c r="B34" s="156" t="s">
        <v>1091</v>
      </c>
      <c r="C34" s="156">
        <v>0.1675</v>
      </c>
      <c r="D34" s="156">
        <v>0.31</v>
      </c>
      <c r="E34" s="156">
        <v>0.07</v>
      </c>
      <c r="F34" s="157"/>
      <c r="G34" s="157"/>
      <c r="H34" s="157"/>
      <c r="I34" s="157"/>
      <c r="J34" s="157"/>
      <c r="K34" s="54"/>
      <c r="L34" s="160" t="s">
        <v>1091</v>
      </c>
      <c r="M34" s="156" t="s">
        <v>1091</v>
      </c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</row>
    <row r="35">
      <c r="A35" s="156">
        <v>7.290106528628E12</v>
      </c>
      <c r="B35" s="156" t="s">
        <v>1117</v>
      </c>
      <c r="C35" s="156">
        <v>0.1675</v>
      </c>
      <c r="D35" s="156">
        <v>0.31</v>
      </c>
      <c r="E35" s="156">
        <v>0.07</v>
      </c>
      <c r="F35" s="157"/>
      <c r="G35" s="157"/>
      <c r="H35" s="157"/>
      <c r="I35" s="157"/>
      <c r="J35" s="157"/>
      <c r="K35" s="54"/>
      <c r="L35" s="160" t="s">
        <v>1117</v>
      </c>
      <c r="M35" s="156" t="s">
        <v>1117</v>
      </c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</row>
    <row r="36">
      <c r="A36" s="156">
        <v>7.290106667266E12</v>
      </c>
      <c r="B36" s="156" t="s">
        <v>1107</v>
      </c>
      <c r="C36" s="156">
        <v>0.1675</v>
      </c>
      <c r="D36" s="156">
        <v>0.31</v>
      </c>
      <c r="E36" s="156">
        <v>0.07</v>
      </c>
      <c r="F36" s="157"/>
      <c r="G36" s="157"/>
      <c r="H36" s="157"/>
      <c r="I36" s="157"/>
      <c r="J36" s="157"/>
      <c r="K36" s="54"/>
      <c r="L36" s="160" t="s">
        <v>1107</v>
      </c>
      <c r="M36" s="156" t="s">
        <v>1107</v>
      </c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</row>
    <row r="37">
      <c r="A37" s="156">
        <v>3.8000845246E10</v>
      </c>
      <c r="B37" s="156" t="s">
        <v>3890</v>
      </c>
      <c r="C37" s="156">
        <v>0.08</v>
      </c>
      <c r="D37" s="156">
        <v>0.13</v>
      </c>
      <c r="E37" s="156">
        <v>0.08</v>
      </c>
      <c r="F37" s="157"/>
      <c r="G37" s="157"/>
      <c r="H37" s="157"/>
      <c r="I37" s="157"/>
      <c r="J37" s="157"/>
      <c r="K37" s="54"/>
      <c r="L37" s="160" t="s">
        <v>3890</v>
      </c>
      <c r="M37" s="156" t="s">
        <v>3890</v>
      </c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</row>
    <row r="38">
      <c r="A38" s="156">
        <v>3.8000845253E10</v>
      </c>
      <c r="B38" s="156" t="s">
        <v>3875</v>
      </c>
      <c r="C38" s="156">
        <v>0.08</v>
      </c>
      <c r="D38" s="156">
        <v>0.13</v>
      </c>
      <c r="E38" s="156">
        <v>0.08</v>
      </c>
      <c r="F38" s="157"/>
      <c r="G38" s="157"/>
      <c r="H38" s="157"/>
      <c r="I38" s="157"/>
      <c r="J38" s="157"/>
      <c r="K38" s="54"/>
      <c r="L38" s="160" t="s">
        <v>3875</v>
      </c>
      <c r="M38" s="156" t="s">
        <v>3875</v>
      </c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</row>
    <row r="39">
      <c r="A39" s="156">
        <v>7.29010203033E12</v>
      </c>
      <c r="B39" s="156" t="s">
        <v>4568</v>
      </c>
      <c r="C39" s="156">
        <v>0.1675</v>
      </c>
      <c r="D39" s="156">
        <v>0.3</v>
      </c>
      <c r="E39" s="156">
        <v>0.06</v>
      </c>
      <c r="F39" s="157"/>
      <c r="G39" s="157"/>
      <c r="H39" s="157"/>
      <c r="I39" s="157"/>
      <c r="J39" s="157"/>
      <c r="K39" s="54"/>
      <c r="L39" s="160" t="s">
        <v>4568</v>
      </c>
      <c r="M39" s="156" t="s">
        <v>4568</v>
      </c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</row>
    <row r="40">
      <c r="A40" s="156">
        <v>7.29010472253E12</v>
      </c>
      <c r="B40" s="156" t="s">
        <v>4563</v>
      </c>
      <c r="C40" s="156">
        <v>0.1675</v>
      </c>
      <c r="D40" s="156">
        <v>0.3</v>
      </c>
      <c r="E40" s="156">
        <v>0.06</v>
      </c>
      <c r="F40" s="157"/>
      <c r="G40" s="157"/>
      <c r="H40" s="157"/>
      <c r="I40" s="157"/>
      <c r="J40" s="157"/>
      <c r="K40" s="54"/>
      <c r="L40" s="160" t="s">
        <v>4563</v>
      </c>
      <c r="M40" s="156" t="s">
        <v>4563</v>
      </c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</row>
    <row r="41">
      <c r="A41" s="156">
        <v>7.29010665626E12</v>
      </c>
      <c r="B41" s="156" t="s">
        <v>3523</v>
      </c>
      <c r="C41" s="156">
        <v>0.135</v>
      </c>
      <c r="D41" s="156">
        <v>0.2</v>
      </c>
      <c r="E41" s="156">
        <v>0.06</v>
      </c>
      <c r="F41" s="157"/>
      <c r="G41" s="157"/>
      <c r="H41" s="157"/>
      <c r="I41" s="157"/>
      <c r="J41" s="157"/>
      <c r="K41" s="54"/>
      <c r="L41" s="160" t="s">
        <v>3523</v>
      </c>
      <c r="M41" s="156" t="s">
        <v>3523</v>
      </c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</row>
    <row r="42">
      <c r="A42" s="156">
        <v>7.290111564956E12</v>
      </c>
      <c r="B42" s="156" t="s">
        <v>372</v>
      </c>
      <c r="C42" s="156">
        <v>0.19</v>
      </c>
      <c r="D42" s="156">
        <v>0.25</v>
      </c>
      <c r="E42" s="156">
        <v>0.07</v>
      </c>
      <c r="F42" s="157"/>
      <c r="G42" s="157"/>
      <c r="H42" s="157"/>
      <c r="I42" s="157"/>
      <c r="J42" s="157"/>
      <c r="K42" s="54"/>
      <c r="L42" s="160" t="s">
        <v>372</v>
      </c>
      <c r="M42" s="156" t="s">
        <v>372</v>
      </c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</row>
    <row r="43">
      <c r="A43" s="156">
        <v>3.8000138416E10</v>
      </c>
      <c r="B43" s="156" t="s">
        <v>3885</v>
      </c>
      <c r="C43" s="156">
        <v>0.08</v>
      </c>
      <c r="D43" s="156">
        <v>0.27</v>
      </c>
      <c r="E43" s="156">
        <v>0.08</v>
      </c>
      <c r="F43" s="157"/>
      <c r="G43" s="157"/>
      <c r="H43" s="157"/>
      <c r="I43" s="157"/>
      <c r="J43" s="157"/>
      <c r="K43" s="54"/>
      <c r="L43" s="160" t="s">
        <v>3885</v>
      </c>
      <c r="M43" s="156" t="s">
        <v>3885</v>
      </c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</row>
    <row r="44">
      <c r="A44" s="156">
        <v>3.800013843E10</v>
      </c>
      <c r="B44" s="156" t="s">
        <v>3870</v>
      </c>
      <c r="C44" s="156">
        <v>0.08</v>
      </c>
      <c r="D44" s="156">
        <v>0.27</v>
      </c>
      <c r="E44" s="156">
        <v>0.08</v>
      </c>
      <c r="F44" s="157"/>
      <c r="G44" s="157"/>
      <c r="H44" s="157"/>
      <c r="I44" s="157"/>
      <c r="J44" s="157"/>
      <c r="K44" s="54"/>
      <c r="L44" s="160" t="s">
        <v>3870</v>
      </c>
      <c r="M44" s="156" t="s">
        <v>3870</v>
      </c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</row>
    <row r="45">
      <c r="A45" s="156">
        <v>7.290106576223E12</v>
      </c>
      <c r="B45" s="156" t="s">
        <v>126</v>
      </c>
      <c r="C45" s="156">
        <v>0.13</v>
      </c>
      <c r="D45" s="156">
        <v>0.12</v>
      </c>
      <c r="E45" s="156">
        <v>0.04</v>
      </c>
      <c r="F45" s="157"/>
      <c r="G45" s="157"/>
      <c r="H45" s="157"/>
      <c r="I45" s="157"/>
      <c r="J45" s="157"/>
      <c r="K45" s="54"/>
      <c r="L45" s="160" t="s">
        <v>126</v>
      </c>
      <c r="M45" s="156" t="s">
        <v>126</v>
      </c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</row>
    <row r="46">
      <c r="A46" s="156">
        <v>3.800018369E10</v>
      </c>
      <c r="B46" s="156" t="s">
        <v>3880</v>
      </c>
      <c r="C46" s="156">
        <v>0.085</v>
      </c>
      <c r="D46" s="156">
        <v>0.13</v>
      </c>
      <c r="E46" s="156">
        <v>0.08</v>
      </c>
      <c r="F46" s="157"/>
      <c r="G46" s="157"/>
      <c r="H46" s="157"/>
      <c r="I46" s="157"/>
      <c r="J46" s="157"/>
      <c r="K46" s="54"/>
      <c r="L46" s="160" t="s">
        <v>3880</v>
      </c>
      <c r="M46" s="156" t="s">
        <v>3880</v>
      </c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</row>
    <row r="47">
      <c r="A47" s="156">
        <v>7.290106720626E12</v>
      </c>
      <c r="B47" s="156" t="s">
        <v>600</v>
      </c>
      <c r="C47" s="156">
        <v>0.14</v>
      </c>
      <c r="D47" s="156">
        <v>0.18</v>
      </c>
      <c r="E47" s="156">
        <v>0.06</v>
      </c>
      <c r="F47" s="157"/>
      <c r="G47" s="157"/>
      <c r="H47" s="157"/>
      <c r="I47" s="157"/>
      <c r="J47" s="157"/>
      <c r="K47" s="54"/>
      <c r="L47" s="160" t="s">
        <v>600</v>
      </c>
      <c r="M47" s="156" t="s">
        <v>600</v>
      </c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</row>
    <row r="48">
      <c r="A48" s="156">
        <v>7.290106660649E12</v>
      </c>
      <c r="B48" s="156" t="s">
        <v>606</v>
      </c>
      <c r="C48" s="156">
        <v>0.14</v>
      </c>
      <c r="D48" s="156">
        <v>0.18</v>
      </c>
      <c r="E48" s="156">
        <v>0.06</v>
      </c>
      <c r="F48" s="157"/>
      <c r="G48" s="157"/>
      <c r="H48" s="157"/>
      <c r="I48" s="157"/>
      <c r="J48" s="157"/>
      <c r="K48" s="54"/>
      <c r="L48" s="160" t="s">
        <v>606</v>
      </c>
      <c r="M48" s="156" t="s">
        <v>606</v>
      </c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</row>
    <row r="49">
      <c r="A49" s="156">
        <v>7.290110561918E12</v>
      </c>
      <c r="B49" s="156" t="s">
        <v>4601</v>
      </c>
      <c r="C49" s="156">
        <v>0.13</v>
      </c>
      <c r="D49" s="156">
        <v>0.18</v>
      </c>
      <c r="E49" s="156">
        <v>0.05</v>
      </c>
      <c r="F49" s="157"/>
      <c r="G49" s="157"/>
      <c r="H49" s="157"/>
      <c r="I49" s="157"/>
      <c r="J49" s="157"/>
      <c r="K49" s="54"/>
      <c r="L49" s="160" t="s">
        <v>4601</v>
      </c>
      <c r="M49" s="156" t="s">
        <v>4601</v>
      </c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</row>
    <row r="50">
      <c r="A50" s="156">
        <v>7.290111565656E12</v>
      </c>
      <c r="B50" s="156" t="s">
        <v>260</v>
      </c>
      <c r="C50" s="156">
        <v>0.128</v>
      </c>
      <c r="D50" s="156">
        <v>0.23</v>
      </c>
      <c r="E50" s="156">
        <v>0.056</v>
      </c>
      <c r="F50" s="157"/>
      <c r="G50" s="157"/>
      <c r="H50" s="157"/>
      <c r="I50" s="157"/>
      <c r="J50" s="157"/>
      <c r="K50" s="54"/>
      <c r="L50" s="160" t="s">
        <v>260</v>
      </c>
      <c r="M50" s="156" t="s">
        <v>260</v>
      </c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</row>
    <row r="51">
      <c r="A51" s="156">
        <v>7.290112966582E12</v>
      </c>
      <c r="B51" s="156" t="s">
        <v>265</v>
      </c>
      <c r="C51" s="156">
        <v>0.14</v>
      </c>
      <c r="D51" s="156">
        <v>0.175</v>
      </c>
      <c r="E51" s="156">
        <v>0.036</v>
      </c>
      <c r="F51" s="157"/>
      <c r="G51" s="157"/>
      <c r="H51" s="157"/>
      <c r="I51" s="157"/>
      <c r="J51" s="157"/>
      <c r="K51" s="54"/>
      <c r="L51" s="160" t="s">
        <v>265</v>
      </c>
      <c r="M51" s="156" t="s">
        <v>265</v>
      </c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</row>
    <row r="52">
      <c r="A52" s="156">
        <v>7.290106524439E12</v>
      </c>
      <c r="B52" s="156" t="s">
        <v>4579</v>
      </c>
      <c r="C52" s="156">
        <v>0.133</v>
      </c>
      <c r="D52" s="156">
        <v>0.18</v>
      </c>
      <c r="E52" s="156">
        <v>0.06</v>
      </c>
      <c r="F52" s="157"/>
      <c r="G52" s="157"/>
      <c r="H52" s="157"/>
      <c r="I52" s="157"/>
      <c r="J52" s="157"/>
      <c r="K52" s="54"/>
      <c r="L52" s="160" t="s">
        <v>4579</v>
      </c>
      <c r="M52" s="156" t="s">
        <v>4579</v>
      </c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</row>
    <row r="53">
      <c r="A53" s="156">
        <v>3.8000183713E10</v>
      </c>
      <c r="B53" s="156" t="s">
        <v>3864</v>
      </c>
      <c r="C53" s="156">
        <v>0.08</v>
      </c>
      <c r="D53" s="156">
        <v>0.27</v>
      </c>
      <c r="E53" s="156">
        <v>0.08</v>
      </c>
      <c r="F53" s="157"/>
      <c r="G53" s="157"/>
      <c r="H53" s="157"/>
      <c r="I53" s="157"/>
      <c r="J53" s="157"/>
      <c r="K53" s="54"/>
      <c r="L53" s="160" t="s">
        <v>3864</v>
      </c>
      <c r="M53" s="156" t="s">
        <v>3864</v>
      </c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</row>
    <row r="54">
      <c r="A54" s="156">
        <v>7.290111568206E12</v>
      </c>
      <c r="B54" s="156" t="s">
        <v>426</v>
      </c>
      <c r="C54" s="156">
        <v>0.128</v>
      </c>
      <c r="D54" s="156">
        <v>0.23</v>
      </c>
      <c r="E54" s="156">
        <v>0.056</v>
      </c>
      <c r="F54" s="157"/>
      <c r="G54" s="157"/>
      <c r="H54" s="157"/>
      <c r="I54" s="157"/>
      <c r="J54" s="157"/>
      <c r="K54" s="54"/>
      <c r="L54" s="160" t="s">
        <v>426</v>
      </c>
      <c r="M54" s="156" t="s">
        <v>426</v>
      </c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</row>
    <row r="55">
      <c r="A55" s="156">
        <v>2.8400055109E10</v>
      </c>
      <c r="B55" s="156" t="s">
        <v>4493</v>
      </c>
      <c r="C55" s="156">
        <v>0.09</v>
      </c>
      <c r="D55" s="156">
        <v>0.23</v>
      </c>
      <c r="E55" s="156">
        <v>0.08</v>
      </c>
      <c r="F55" s="157"/>
      <c r="G55" s="157"/>
      <c r="H55" s="157"/>
      <c r="I55" s="157"/>
      <c r="J55" s="157"/>
      <c r="K55" s="54"/>
      <c r="L55" s="160" t="s">
        <v>4493</v>
      </c>
      <c r="M55" s="156" t="s">
        <v>4493</v>
      </c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</row>
    <row r="56">
      <c r="A56" s="156">
        <v>2.8400055093E10</v>
      </c>
      <c r="B56" s="156" t="s">
        <v>4488</v>
      </c>
      <c r="C56" s="156">
        <v>0.09</v>
      </c>
      <c r="D56" s="156">
        <v>0.23</v>
      </c>
      <c r="E56" s="156">
        <v>0.08</v>
      </c>
      <c r="F56" s="157"/>
      <c r="G56" s="157"/>
      <c r="H56" s="157"/>
      <c r="I56" s="157"/>
      <c r="J56" s="157"/>
      <c r="K56" s="54"/>
      <c r="L56" s="160" t="s">
        <v>4488</v>
      </c>
      <c r="M56" s="156" t="s">
        <v>4488</v>
      </c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</row>
    <row r="57">
      <c r="A57" s="156">
        <v>2.8400055154E10</v>
      </c>
      <c r="B57" s="156" t="s">
        <v>6694</v>
      </c>
      <c r="C57" s="156">
        <v>0.09</v>
      </c>
      <c r="D57" s="156">
        <v>0.23</v>
      </c>
      <c r="E57" s="156">
        <v>0.08</v>
      </c>
      <c r="F57" s="157"/>
      <c r="G57" s="157"/>
      <c r="H57" s="157"/>
      <c r="I57" s="157"/>
      <c r="J57" s="157"/>
      <c r="K57" s="54"/>
      <c r="L57" s="160" t="s">
        <v>6694</v>
      </c>
      <c r="M57" s="156" t="s">
        <v>6694</v>
      </c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</row>
    <row r="58">
      <c r="A58" s="156">
        <v>7.290112359018E12</v>
      </c>
      <c r="B58" s="156" t="s">
        <v>4606</v>
      </c>
      <c r="C58" s="156">
        <v>0.13</v>
      </c>
      <c r="D58" s="156">
        <v>0.18</v>
      </c>
      <c r="E58" s="156">
        <v>0.043</v>
      </c>
      <c r="F58" s="157"/>
      <c r="G58" s="157"/>
      <c r="H58" s="157"/>
      <c r="I58" s="157"/>
      <c r="J58" s="157"/>
      <c r="K58" s="54"/>
      <c r="L58" s="160" t="s">
        <v>4606</v>
      </c>
      <c r="M58" s="156" t="s">
        <v>4606</v>
      </c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</row>
    <row r="59">
      <c r="A59" s="156">
        <v>7.290112342195E12</v>
      </c>
      <c r="B59" s="156" t="s">
        <v>4584</v>
      </c>
      <c r="C59" s="156">
        <v>0.1675</v>
      </c>
      <c r="D59" s="156">
        <v>0.3</v>
      </c>
      <c r="E59" s="156">
        <v>0.06</v>
      </c>
      <c r="F59" s="157"/>
      <c r="G59" s="157"/>
      <c r="H59" s="157"/>
      <c r="I59" s="157"/>
      <c r="J59" s="157"/>
      <c r="K59" s="54"/>
      <c r="L59" s="160" t="s">
        <v>4584</v>
      </c>
      <c r="M59" s="156" t="s">
        <v>4584</v>
      </c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</row>
    <row r="60">
      <c r="A60" s="156">
        <v>7.290107942355E12</v>
      </c>
      <c r="B60" s="156" t="s">
        <v>4589</v>
      </c>
      <c r="C60" s="156">
        <v>0.14</v>
      </c>
      <c r="D60" s="156">
        <v>0.175</v>
      </c>
      <c r="E60" s="156">
        <v>0.06</v>
      </c>
      <c r="F60" s="157"/>
      <c r="G60" s="157"/>
      <c r="H60" s="157"/>
      <c r="I60" s="157"/>
      <c r="J60" s="157"/>
      <c r="K60" s="54"/>
      <c r="L60" s="160" t="s">
        <v>4589</v>
      </c>
      <c r="M60" s="156" t="s">
        <v>4589</v>
      </c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</row>
    <row r="61">
      <c r="A61" s="156">
        <v>7.290106662025E12</v>
      </c>
      <c r="B61" s="156" t="s">
        <v>4573</v>
      </c>
      <c r="C61" s="156">
        <v>0.133</v>
      </c>
      <c r="D61" s="156">
        <v>0.18</v>
      </c>
      <c r="E61" s="156">
        <v>0.06</v>
      </c>
      <c r="F61" s="157"/>
      <c r="G61" s="157"/>
      <c r="H61" s="157"/>
      <c r="I61" s="157"/>
      <c r="J61" s="157"/>
      <c r="K61" s="54"/>
      <c r="L61" s="160" t="s">
        <v>4573</v>
      </c>
      <c r="M61" s="156" t="s">
        <v>4573</v>
      </c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</row>
    <row r="62">
      <c r="A62" s="156">
        <v>4.014400925319E12</v>
      </c>
      <c r="B62" s="156" t="s">
        <v>4875</v>
      </c>
      <c r="C62" s="156">
        <v>0.145</v>
      </c>
      <c r="D62" s="156">
        <v>0.215</v>
      </c>
      <c r="E62" s="156">
        <v>0.06</v>
      </c>
      <c r="F62" s="157"/>
      <c r="G62" s="157"/>
      <c r="H62" s="157"/>
      <c r="I62" s="157"/>
      <c r="J62" s="157"/>
      <c r="K62" s="54"/>
      <c r="L62" s="160" t="s">
        <v>4875</v>
      </c>
      <c r="M62" s="156" t="s">
        <v>4875</v>
      </c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</row>
    <row r="63">
      <c r="A63" s="156">
        <v>7.290112965707E12</v>
      </c>
      <c r="B63" s="156" t="s">
        <v>1398</v>
      </c>
      <c r="C63" s="156">
        <v>0.15</v>
      </c>
      <c r="D63" s="156">
        <v>0.175</v>
      </c>
      <c r="E63" s="156">
        <v>0.03</v>
      </c>
      <c r="F63" s="157"/>
      <c r="G63" s="157"/>
      <c r="H63" s="157"/>
      <c r="I63" s="157"/>
      <c r="J63" s="157"/>
      <c r="K63" s="54"/>
      <c r="L63" s="160" t="s">
        <v>1398</v>
      </c>
      <c r="M63" s="156" t="s">
        <v>1398</v>
      </c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</row>
    <row r="64">
      <c r="A64" s="156">
        <v>7.29011296566E12</v>
      </c>
      <c r="B64" s="156" t="s">
        <v>1392</v>
      </c>
      <c r="C64" s="156">
        <v>0.15</v>
      </c>
      <c r="D64" s="156">
        <v>0.175</v>
      </c>
      <c r="E64" s="156">
        <v>0.03</v>
      </c>
      <c r="F64" s="157"/>
      <c r="G64" s="157"/>
      <c r="H64" s="157"/>
      <c r="I64" s="157"/>
      <c r="J64" s="157"/>
      <c r="K64" s="54"/>
      <c r="L64" s="160" t="s">
        <v>1392</v>
      </c>
      <c r="M64" s="156" t="s">
        <v>1392</v>
      </c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</row>
    <row r="65">
      <c r="A65" s="156">
        <v>7.290112965684E12</v>
      </c>
      <c r="B65" s="156" t="s">
        <v>1403</v>
      </c>
      <c r="C65" s="156">
        <v>0.15</v>
      </c>
      <c r="D65" s="156">
        <v>0.175</v>
      </c>
      <c r="E65" s="156">
        <v>0.03</v>
      </c>
      <c r="F65" s="157"/>
      <c r="G65" s="157"/>
      <c r="H65" s="157"/>
      <c r="I65" s="157"/>
      <c r="J65" s="157"/>
      <c r="K65" s="54"/>
      <c r="L65" s="160" t="s">
        <v>1403</v>
      </c>
      <c r="M65" s="156" t="s">
        <v>1403</v>
      </c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</row>
    <row r="66">
      <c r="A66" s="156">
        <v>7.29011567699E12</v>
      </c>
      <c r="B66" s="156" t="s">
        <v>4647</v>
      </c>
      <c r="C66" s="156">
        <v>0.14</v>
      </c>
      <c r="D66" s="156">
        <v>0.175</v>
      </c>
      <c r="E66" s="156">
        <v>0.045</v>
      </c>
      <c r="F66" s="157"/>
      <c r="G66" s="157"/>
      <c r="H66" s="157"/>
      <c r="I66" s="157"/>
      <c r="J66" s="157"/>
      <c r="K66" s="54"/>
      <c r="L66" s="160" t="s">
        <v>4647</v>
      </c>
      <c r="M66" s="156" t="s">
        <v>4647</v>
      </c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</row>
    <row r="67">
      <c r="A67" s="156">
        <v>8.9079310036E12</v>
      </c>
      <c r="B67" s="156" t="s">
        <v>4702</v>
      </c>
      <c r="C67" s="156">
        <v>0.13</v>
      </c>
      <c r="D67" s="156">
        <v>0.19</v>
      </c>
      <c r="E67" s="156">
        <v>0.05</v>
      </c>
      <c r="F67" s="157"/>
      <c r="G67" s="157"/>
      <c r="H67" s="157"/>
      <c r="I67" s="157"/>
      <c r="J67" s="157"/>
      <c r="K67" s="54"/>
      <c r="L67" s="160" t="s">
        <v>4702</v>
      </c>
      <c r="M67" s="156" t="s">
        <v>4702</v>
      </c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</row>
    <row r="68">
      <c r="A68" s="156">
        <v>7.290105364302E12</v>
      </c>
      <c r="B68" s="156" t="s">
        <v>2063</v>
      </c>
      <c r="C68" s="156">
        <v>0.08</v>
      </c>
      <c r="D68" s="156">
        <v>0.142</v>
      </c>
      <c r="E68" s="156">
        <v>0.037</v>
      </c>
      <c r="F68" s="157"/>
      <c r="G68" s="157"/>
      <c r="H68" s="157"/>
      <c r="I68" s="157"/>
      <c r="J68" s="157"/>
      <c r="K68" s="54"/>
      <c r="L68" s="160" t="s">
        <v>2063</v>
      </c>
      <c r="M68" s="156" t="s">
        <v>2063</v>
      </c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</row>
    <row r="69">
      <c r="A69" s="156">
        <v>5.000159376655E12</v>
      </c>
      <c r="B69" s="156" t="s">
        <v>4287</v>
      </c>
      <c r="C69" s="156">
        <v>0.07</v>
      </c>
      <c r="D69" s="156">
        <v>0.122</v>
      </c>
      <c r="E69" s="156">
        <v>0.005</v>
      </c>
      <c r="F69" s="157"/>
      <c r="G69" s="157"/>
      <c r="H69" s="157"/>
      <c r="I69" s="157"/>
      <c r="J69" s="157"/>
      <c r="K69" s="54"/>
      <c r="L69" s="160" t="s">
        <v>4287</v>
      </c>
      <c r="M69" s="156" t="s">
        <v>4287</v>
      </c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</row>
    <row r="70">
      <c r="A70" s="156">
        <v>5.000159376792E12</v>
      </c>
      <c r="B70" s="156" t="s">
        <v>4293</v>
      </c>
      <c r="C70" s="156">
        <v>0.07</v>
      </c>
      <c r="D70" s="156">
        <v>0.122</v>
      </c>
      <c r="E70" s="156">
        <v>0.005</v>
      </c>
      <c r="F70" s="157"/>
      <c r="G70" s="157"/>
      <c r="H70" s="157"/>
      <c r="I70" s="157"/>
      <c r="J70" s="157"/>
      <c r="K70" s="54"/>
      <c r="L70" s="160" t="s">
        <v>4293</v>
      </c>
      <c r="M70" s="156" t="s">
        <v>4293</v>
      </c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</row>
    <row r="71">
      <c r="A71" s="156">
        <v>7.290008754415E12</v>
      </c>
      <c r="B71" s="157" t="s">
        <v>6695</v>
      </c>
      <c r="C71" s="156">
        <v>0.046</v>
      </c>
      <c r="D71" s="156">
        <v>0.076</v>
      </c>
      <c r="E71" s="156">
        <v>0.02</v>
      </c>
      <c r="F71" s="157"/>
      <c r="G71" s="157"/>
      <c r="H71" s="157"/>
      <c r="I71" s="157"/>
      <c r="J71" s="157"/>
      <c r="K71" s="54"/>
      <c r="L71" s="157" t="s">
        <v>6695</v>
      </c>
      <c r="M71" s="159" t="s">
        <v>6695</v>
      </c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</row>
    <row r="72">
      <c r="A72" s="156">
        <v>7.290008754422E12</v>
      </c>
      <c r="B72" s="157" t="s">
        <v>6696</v>
      </c>
      <c r="C72" s="156">
        <v>0.045</v>
      </c>
      <c r="D72" s="156">
        <v>0.075</v>
      </c>
      <c r="E72" s="156">
        <v>0.02</v>
      </c>
      <c r="F72" s="157"/>
      <c r="G72" s="157"/>
      <c r="H72" s="157"/>
      <c r="I72" s="157"/>
      <c r="J72" s="157"/>
      <c r="K72" s="54"/>
      <c r="L72" s="157" t="s">
        <v>6696</v>
      </c>
      <c r="M72" s="159" t="s">
        <v>6696</v>
      </c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</row>
    <row r="73">
      <c r="A73" s="156">
        <v>7.290102035007E12</v>
      </c>
      <c r="B73" s="156" t="s">
        <v>306</v>
      </c>
      <c r="C73" s="156">
        <v>0.046</v>
      </c>
      <c r="D73" s="156">
        <v>0.076</v>
      </c>
      <c r="E73" s="156">
        <v>0.02</v>
      </c>
      <c r="F73" s="157"/>
      <c r="G73" s="157"/>
      <c r="H73" s="157"/>
      <c r="I73" s="157"/>
      <c r="J73" s="157"/>
      <c r="K73" s="54"/>
      <c r="L73" s="160" t="s">
        <v>306</v>
      </c>
      <c r="M73" s="156" t="s">
        <v>306</v>
      </c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</row>
    <row r="74">
      <c r="A74" s="156">
        <v>8.0050025E7</v>
      </c>
      <c r="B74" s="156" t="s">
        <v>4725</v>
      </c>
      <c r="C74" s="156">
        <v>0.037</v>
      </c>
      <c r="D74" s="156">
        <v>0.061</v>
      </c>
      <c r="E74" s="156">
        <v>0.02</v>
      </c>
      <c r="F74" s="157"/>
      <c r="G74" s="157"/>
      <c r="H74" s="157"/>
      <c r="I74" s="157"/>
      <c r="J74" s="157"/>
      <c r="K74" s="54"/>
      <c r="L74" s="156" t="s">
        <v>4725</v>
      </c>
      <c r="M74" s="156" t="s">
        <v>4725</v>
      </c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</row>
    <row r="75">
      <c r="A75" s="156">
        <v>8.0050124E7</v>
      </c>
      <c r="B75" s="156" t="s">
        <v>4718</v>
      </c>
      <c r="C75" s="156">
        <v>0.037</v>
      </c>
      <c r="D75" s="156">
        <v>0.061</v>
      </c>
      <c r="E75" s="156">
        <v>0.02</v>
      </c>
      <c r="F75" s="157"/>
      <c r="G75" s="157"/>
      <c r="H75" s="157"/>
      <c r="I75" s="157"/>
      <c r="J75" s="157"/>
      <c r="K75" s="54"/>
      <c r="L75" s="156" t="s">
        <v>4718</v>
      </c>
      <c r="M75" s="156" t="s">
        <v>4718</v>
      </c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</row>
    <row r="76">
      <c r="A76" s="156">
        <v>7.290000161631E12</v>
      </c>
      <c r="B76" s="157" t="s">
        <v>6697</v>
      </c>
      <c r="C76" s="156">
        <v>0.16</v>
      </c>
      <c r="D76" s="156">
        <v>0.037</v>
      </c>
      <c r="E76" s="156">
        <v>0.03</v>
      </c>
      <c r="F76" s="157"/>
      <c r="G76" s="157"/>
      <c r="H76" s="157"/>
      <c r="I76" s="157"/>
      <c r="J76" s="157"/>
      <c r="K76" s="54"/>
      <c r="L76" s="157" t="s">
        <v>6697</v>
      </c>
      <c r="M76" s="159" t="s">
        <v>6697</v>
      </c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</row>
    <row r="77">
      <c r="A77" s="156">
        <v>7.290000161648E12</v>
      </c>
      <c r="B77" s="157" t="s">
        <v>6698</v>
      </c>
      <c r="C77" s="156">
        <v>0.16</v>
      </c>
      <c r="D77" s="156">
        <v>0.037</v>
      </c>
      <c r="E77" s="156">
        <v>0.03</v>
      </c>
      <c r="F77" s="157"/>
      <c r="G77" s="157"/>
      <c r="H77" s="157"/>
      <c r="I77" s="157"/>
      <c r="J77" s="157"/>
      <c r="K77" s="54"/>
      <c r="L77" s="157" t="s">
        <v>6698</v>
      </c>
      <c r="M77" s="159" t="s">
        <v>6698</v>
      </c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</row>
    <row r="78">
      <c r="A78" s="156">
        <v>7.29000017147E12</v>
      </c>
      <c r="B78" s="157" t="s">
        <v>6699</v>
      </c>
      <c r="C78" s="156">
        <v>0.11</v>
      </c>
      <c r="D78" s="156">
        <v>0.065</v>
      </c>
      <c r="E78" s="156">
        <v>0.02</v>
      </c>
      <c r="F78" s="157"/>
      <c r="G78" s="157"/>
      <c r="H78" s="157"/>
      <c r="I78" s="157"/>
      <c r="J78" s="157"/>
      <c r="K78" s="54"/>
      <c r="L78" s="157" t="s">
        <v>6699</v>
      </c>
      <c r="M78" s="159" t="s">
        <v>6699</v>
      </c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</row>
    <row r="79">
      <c r="A79" s="156">
        <v>7.290002752332E12</v>
      </c>
      <c r="B79" s="157" t="s">
        <v>6700</v>
      </c>
      <c r="C79" s="156">
        <v>0.138</v>
      </c>
      <c r="D79" s="156">
        <v>0.022</v>
      </c>
      <c r="E79" s="156">
        <v>0.02</v>
      </c>
      <c r="F79" s="157"/>
      <c r="G79" s="157"/>
      <c r="H79" s="157"/>
      <c r="I79" s="157"/>
      <c r="J79" s="157"/>
      <c r="K79" s="54"/>
      <c r="L79" s="157" t="s">
        <v>6700</v>
      </c>
      <c r="M79" s="159" t="s">
        <v>6700</v>
      </c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</row>
    <row r="80">
      <c r="A80" s="156">
        <v>7.290002752349E12</v>
      </c>
      <c r="B80" s="157" t="s">
        <v>6701</v>
      </c>
      <c r="C80" s="156">
        <v>0.138</v>
      </c>
      <c r="D80" s="156">
        <v>0.022</v>
      </c>
      <c r="E80" s="156">
        <v>0.02</v>
      </c>
      <c r="F80" s="157"/>
      <c r="G80" s="157"/>
      <c r="H80" s="157"/>
      <c r="I80" s="157"/>
      <c r="J80" s="157"/>
      <c r="K80" s="54"/>
      <c r="L80" s="157" t="s">
        <v>6701</v>
      </c>
      <c r="M80" s="159" t="s">
        <v>6701</v>
      </c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</row>
    <row r="81">
      <c r="A81" s="156">
        <v>7.290003145768E12</v>
      </c>
      <c r="B81" s="157" t="s">
        <v>6702</v>
      </c>
      <c r="C81" s="156">
        <v>0.06</v>
      </c>
      <c r="D81" s="156">
        <v>0.075</v>
      </c>
      <c r="E81" s="156">
        <v>0.24</v>
      </c>
      <c r="F81" s="157"/>
      <c r="G81" s="157"/>
      <c r="H81" s="157"/>
      <c r="I81" s="157"/>
      <c r="J81" s="157"/>
      <c r="K81" s="54"/>
      <c r="L81" s="157" t="s">
        <v>6702</v>
      </c>
      <c r="M81" s="159" t="s">
        <v>6702</v>
      </c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>
      <c r="A82" s="156">
        <v>7.290008747431E12</v>
      </c>
      <c r="B82" s="157" t="s">
        <v>6703</v>
      </c>
      <c r="C82" s="156">
        <v>0.04</v>
      </c>
      <c r="D82" s="156">
        <v>0.15</v>
      </c>
      <c r="E82" s="156">
        <v>0.02</v>
      </c>
      <c r="F82" s="157"/>
      <c r="G82" s="157"/>
      <c r="H82" s="157"/>
      <c r="I82" s="157"/>
      <c r="J82" s="157"/>
      <c r="K82" s="54"/>
      <c r="L82" s="157" t="s">
        <v>6703</v>
      </c>
      <c r="M82" s="159" t="s">
        <v>6703</v>
      </c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</row>
    <row r="83">
      <c r="A83" s="156">
        <v>4.0111216E7</v>
      </c>
      <c r="B83" s="156" t="s">
        <v>498</v>
      </c>
      <c r="C83" s="156">
        <v>0.155</v>
      </c>
      <c r="D83" s="156">
        <v>0.04</v>
      </c>
      <c r="E83" s="156">
        <v>0.02</v>
      </c>
      <c r="F83" s="157"/>
      <c r="G83" s="157"/>
      <c r="H83" s="157"/>
      <c r="I83" s="157"/>
      <c r="J83" s="157"/>
      <c r="K83" s="54"/>
      <c r="L83" s="160" t="s">
        <v>498</v>
      </c>
      <c r="M83" s="156" t="s">
        <v>498</v>
      </c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</row>
    <row r="84">
      <c r="A84" s="156">
        <v>7.2909799E7</v>
      </c>
      <c r="B84" s="156" t="s">
        <v>751</v>
      </c>
      <c r="C84" s="156">
        <v>0.16</v>
      </c>
      <c r="D84" s="156">
        <v>0.037</v>
      </c>
      <c r="E84" s="156">
        <v>0.02</v>
      </c>
      <c r="F84" s="157"/>
      <c r="G84" s="157"/>
      <c r="H84" s="157"/>
      <c r="I84" s="157"/>
      <c r="J84" s="157"/>
      <c r="K84" s="54"/>
      <c r="L84" s="156" t="s">
        <v>751</v>
      </c>
      <c r="M84" s="156" t="s">
        <v>751</v>
      </c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</row>
    <row r="85">
      <c r="A85" s="156">
        <v>7.2917329E7</v>
      </c>
      <c r="B85" s="156" t="s">
        <v>1158</v>
      </c>
      <c r="C85" s="156">
        <v>0.13</v>
      </c>
      <c r="D85" s="156">
        <v>0.035</v>
      </c>
      <c r="E85" s="156">
        <v>0.02</v>
      </c>
      <c r="F85" s="157"/>
      <c r="G85" s="157"/>
      <c r="H85" s="157"/>
      <c r="I85" s="157"/>
      <c r="J85" s="157"/>
      <c r="K85" s="54"/>
      <c r="L85" s="160" t="s">
        <v>1158</v>
      </c>
      <c r="M85" s="156" t="s">
        <v>1158</v>
      </c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</row>
    <row r="86">
      <c r="A86" s="156">
        <v>7.2917367E7</v>
      </c>
      <c r="B86" s="156" t="s">
        <v>4555</v>
      </c>
      <c r="C86" s="156">
        <v>0.135</v>
      </c>
      <c r="D86" s="156">
        <v>0.05</v>
      </c>
      <c r="E86" s="156">
        <v>0.02</v>
      </c>
      <c r="F86" s="157"/>
      <c r="G86" s="157"/>
      <c r="H86" s="157"/>
      <c r="I86" s="157"/>
      <c r="J86" s="157"/>
      <c r="K86" s="54"/>
      <c r="L86" s="156" t="s">
        <v>4555</v>
      </c>
      <c r="M86" s="156" t="s">
        <v>4555</v>
      </c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</row>
    <row r="87">
      <c r="A87" s="156">
        <v>7.2917589E7</v>
      </c>
      <c r="B87" s="156" t="s">
        <v>2600</v>
      </c>
      <c r="C87" s="156">
        <v>0.14</v>
      </c>
      <c r="D87" s="156">
        <v>0.037</v>
      </c>
      <c r="E87" s="156">
        <v>0.02</v>
      </c>
      <c r="F87" s="157"/>
      <c r="G87" s="157"/>
      <c r="H87" s="157"/>
      <c r="I87" s="157"/>
      <c r="J87" s="157"/>
      <c r="K87" s="54"/>
      <c r="L87" s="160" t="s">
        <v>2600</v>
      </c>
      <c r="M87" s="156" t="s">
        <v>2600</v>
      </c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</row>
    <row r="88">
      <c r="A88" s="156">
        <v>7.2917893E7</v>
      </c>
      <c r="B88" s="156" t="s">
        <v>3409</v>
      </c>
      <c r="C88" s="156">
        <v>0.16</v>
      </c>
      <c r="D88" s="156">
        <v>0.035</v>
      </c>
      <c r="E88" s="156">
        <v>0.02</v>
      </c>
      <c r="F88" s="157"/>
      <c r="G88" s="157"/>
      <c r="H88" s="157"/>
      <c r="I88" s="157"/>
      <c r="J88" s="157"/>
      <c r="K88" s="54"/>
      <c r="L88" s="160" t="s">
        <v>3409</v>
      </c>
      <c r="M88" s="156" t="s">
        <v>3409</v>
      </c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</row>
    <row r="89">
      <c r="A89" s="156">
        <v>7.2918388E7</v>
      </c>
      <c r="B89" s="156" t="s">
        <v>4795</v>
      </c>
      <c r="C89" s="156">
        <v>0.12</v>
      </c>
      <c r="D89" s="156">
        <v>0.035</v>
      </c>
      <c r="E89" s="156">
        <v>0.02</v>
      </c>
      <c r="F89" s="157"/>
      <c r="G89" s="157"/>
      <c r="H89" s="157"/>
      <c r="I89" s="157"/>
      <c r="J89" s="157"/>
      <c r="K89" s="54"/>
      <c r="L89" s="156" t="s">
        <v>4795</v>
      </c>
      <c r="M89" s="156" t="s">
        <v>4795</v>
      </c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</row>
    <row r="90">
      <c r="A90" s="156">
        <v>7.2992357E7</v>
      </c>
      <c r="B90" s="156" t="s">
        <v>3394</v>
      </c>
      <c r="C90" s="156">
        <v>0.145</v>
      </c>
      <c r="D90" s="156">
        <v>0.035</v>
      </c>
      <c r="E90" s="156">
        <v>0.02</v>
      </c>
      <c r="F90" s="157"/>
      <c r="G90" s="157"/>
      <c r="H90" s="157"/>
      <c r="I90" s="157"/>
      <c r="J90" s="157"/>
      <c r="K90" s="54"/>
      <c r="L90" s="160" t="s">
        <v>3394</v>
      </c>
      <c r="M90" s="156" t="s">
        <v>3394</v>
      </c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</row>
    <row r="91">
      <c r="A91" s="156">
        <v>7.2994061E7</v>
      </c>
      <c r="B91" s="156" t="s">
        <v>3415</v>
      </c>
      <c r="C91" s="156">
        <v>0.13</v>
      </c>
      <c r="D91" s="156">
        <v>0.045</v>
      </c>
      <c r="E91" s="156">
        <v>0.02</v>
      </c>
      <c r="F91" s="157"/>
      <c r="G91" s="157"/>
      <c r="H91" s="157"/>
      <c r="I91" s="157"/>
      <c r="J91" s="157"/>
      <c r="K91" s="54"/>
      <c r="L91" s="156" t="s">
        <v>3415</v>
      </c>
      <c r="M91" s="156" t="s">
        <v>3415</v>
      </c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</row>
    <row r="92">
      <c r="A92" s="156">
        <v>8.0001027E7</v>
      </c>
      <c r="B92" s="156" t="s">
        <v>2443</v>
      </c>
      <c r="C92" s="156">
        <v>0.095</v>
      </c>
      <c r="D92" s="156">
        <v>0.065</v>
      </c>
      <c r="E92" s="156">
        <v>0.02</v>
      </c>
      <c r="F92" s="157"/>
      <c r="G92" s="157"/>
      <c r="H92" s="157"/>
      <c r="I92" s="157"/>
      <c r="J92" s="157"/>
      <c r="K92" s="54"/>
      <c r="L92" s="160" t="s">
        <v>2443</v>
      </c>
      <c r="M92" s="156" t="s">
        <v>2443</v>
      </c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</row>
    <row r="93">
      <c r="A93" s="157"/>
      <c r="B93" s="157" t="s">
        <v>6704</v>
      </c>
      <c r="C93" s="156">
        <v>0.19</v>
      </c>
      <c r="D93" s="156">
        <v>0.09999999</v>
      </c>
      <c r="E93" s="156">
        <v>0.19</v>
      </c>
      <c r="F93" s="157"/>
      <c r="G93" s="157"/>
      <c r="H93" s="157"/>
      <c r="I93" s="157"/>
      <c r="J93" s="157"/>
      <c r="K93" s="54"/>
      <c r="L93" s="157" t="s">
        <v>6704</v>
      </c>
      <c r="M93" s="159" t="s">
        <v>6704</v>
      </c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</row>
    <row r="94">
      <c r="A94" s="156">
        <v>8.0001461E7</v>
      </c>
      <c r="B94" s="156" t="s">
        <v>2388</v>
      </c>
      <c r="C94" s="156">
        <v>0.09999999</v>
      </c>
      <c r="D94" s="156">
        <v>0.045</v>
      </c>
      <c r="E94" s="156">
        <v>0.02</v>
      </c>
      <c r="F94" s="157"/>
      <c r="G94" s="157"/>
      <c r="H94" s="157"/>
      <c r="I94" s="157"/>
      <c r="J94" s="157"/>
      <c r="K94" s="54"/>
      <c r="L94" s="160" t="s">
        <v>2388</v>
      </c>
      <c r="M94" s="156" t="s">
        <v>2388</v>
      </c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</row>
    <row r="95">
      <c r="A95" s="156">
        <v>8.0001485E7</v>
      </c>
      <c r="B95" s="156" t="s">
        <v>2375</v>
      </c>
      <c r="C95" s="156">
        <v>0.09999999</v>
      </c>
      <c r="D95" s="156">
        <v>0.045</v>
      </c>
      <c r="E95" s="156">
        <v>0.02</v>
      </c>
      <c r="F95" s="157"/>
      <c r="G95" s="157"/>
      <c r="H95" s="157"/>
      <c r="I95" s="157"/>
      <c r="J95" s="157"/>
      <c r="K95" s="54"/>
      <c r="L95" s="160" t="s">
        <v>2375</v>
      </c>
      <c r="M95" s="156" t="s">
        <v>2375</v>
      </c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</row>
    <row r="96">
      <c r="A96" s="156">
        <v>8.0176732E7</v>
      </c>
      <c r="B96" s="156" t="s">
        <v>1769</v>
      </c>
      <c r="C96" s="156">
        <v>0.045</v>
      </c>
      <c r="D96" s="156">
        <v>0.09</v>
      </c>
      <c r="E96" s="156">
        <v>0.02</v>
      </c>
      <c r="F96" s="157"/>
      <c r="G96" s="157"/>
      <c r="H96" s="157"/>
      <c r="I96" s="157"/>
      <c r="J96" s="157"/>
      <c r="K96" s="54"/>
      <c r="L96" s="160" t="s">
        <v>1769</v>
      </c>
      <c r="M96" s="156" t="s">
        <v>1769</v>
      </c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</row>
    <row r="97">
      <c r="A97" s="156">
        <v>8.0761761E7</v>
      </c>
      <c r="B97" s="156" t="s">
        <v>2101</v>
      </c>
      <c r="C97" s="156">
        <v>0.155</v>
      </c>
      <c r="D97" s="156">
        <v>0.055</v>
      </c>
      <c r="E97" s="156">
        <v>0.02</v>
      </c>
      <c r="F97" s="157"/>
      <c r="G97" s="157"/>
      <c r="H97" s="157"/>
      <c r="I97" s="157"/>
      <c r="J97" s="157"/>
      <c r="K97" s="54"/>
      <c r="L97" s="156" t="s">
        <v>2101</v>
      </c>
      <c r="M97" s="156" t="s">
        <v>2101</v>
      </c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</row>
    <row r="98">
      <c r="A98" s="156">
        <v>8.7311396E7</v>
      </c>
      <c r="B98" s="156" t="s">
        <v>2622</v>
      </c>
      <c r="C98" s="156">
        <v>0.138</v>
      </c>
      <c r="D98" s="156">
        <v>0.022</v>
      </c>
      <c r="E98" s="156">
        <v>0.02</v>
      </c>
      <c r="F98" s="157"/>
      <c r="G98" s="157"/>
      <c r="H98" s="157"/>
      <c r="I98" s="157"/>
      <c r="J98" s="157"/>
      <c r="K98" s="54"/>
      <c r="L98" s="160" t="s">
        <v>2622</v>
      </c>
      <c r="M98" s="156" t="s">
        <v>2622</v>
      </c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</row>
    <row r="99">
      <c r="A99" s="156">
        <v>1.6000507777E10</v>
      </c>
      <c r="B99" s="156" t="s">
        <v>1000</v>
      </c>
      <c r="C99" s="156">
        <v>0.13</v>
      </c>
      <c r="D99" s="156">
        <v>0.045</v>
      </c>
      <c r="E99" s="156">
        <v>0.02</v>
      </c>
      <c r="F99" s="157"/>
      <c r="G99" s="157"/>
      <c r="H99" s="157"/>
      <c r="I99" s="157"/>
      <c r="J99" s="157"/>
      <c r="K99" s="54"/>
      <c r="L99" s="160" t="s">
        <v>1000</v>
      </c>
      <c r="M99" s="156" t="s">
        <v>1000</v>
      </c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</row>
    <row r="100">
      <c r="A100" s="156">
        <v>1.6000548497E10</v>
      </c>
      <c r="B100" s="156" t="s">
        <v>987</v>
      </c>
      <c r="C100" s="156">
        <v>0.13</v>
      </c>
      <c r="D100" s="156">
        <v>0.045</v>
      </c>
      <c r="E100" s="156">
        <v>0.02</v>
      </c>
      <c r="F100" s="157"/>
      <c r="G100" s="157"/>
      <c r="H100" s="157"/>
      <c r="I100" s="157"/>
      <c r="J100" s="157"/>
      <c r="K100" s="54"/>
      <c r="L100" s="160" t="s">
        <v>987</v>
      </c>
      <c r="M100" s="156" t="s">
        <v>987</v>
      </c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</row>
    <row r="101">
      <c r="A101" s="156">
        <v>1.6000548596E10</v>
      </c>
      <c r="B101" s="156" t="s">
        <v>6705</v>
      </c>
      <c r="C101" s="156">
        <v>0.13</v>
      </c>
      <c r="D101" s="156">
        <v>0.045</v>
      </c>
      <c r="E101" s="156">
        <v>0.02</v>
      </c>
      <c r="F101" s="157"/>
      <c r="G101" s="157"/>
      <c r="H101" s="157"/>
      <c r="I101" s="157"/>
      <c r="J101" s="157"/>
      <c r="K101" s="54"/>
      <c r="L101" s="160" t="s">
        <v>6705</v>
      </c>
      <c r="M101" s="156" t="s">
        <v>6705</v>
      </c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</row>
    <row r="102">
      <c r="A102" s="156">
        <v>5.000159407236E12</v>
      </c>
      <c r="B102" s="156" t="s">
        <v>2556</v>
      </c>
      <c r="C102" s="156">
        <v>0.11</v>
      </c>
      <c r="D102" s="156">
        <v>0.032</v>
      </c>
      <c r="E102" s="156">
        <v>0.02</v>
      </c>
      <c r="F102" s="157"/>
      <c r="G102" s="157"/>
      <c r="H102" s="157"/>
      <c r="I102" s="157"/>
      <c r="J102" s="157"/>
      <c r="K102" s="54"/>
      <c r="L102" s="156" t="s">
        <v>2556</v>
      </c>
      <c r="M102" s="156" t="s">
        <v>2556</v>
      </c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</row>
    <row r="103">
      <c r="A103" s="156">
        <v>5.000159459228E12</v>
      </c>
      <c r="B103" s="156" t="s">
        <v>4803</v>
      </c>
      <c r="C103" s="156">
        <v>0.12</v>
      </c>
      <c r="D103" s="156">
        <v>0.045</v>
      </c>
      <c r="E103" s="156">
        <v>0.02</v>
      </c>
      <c r="F103" s="157"/>
      <c r="G103" s="157"/>
      <c r="H103" s="157"/>
      <c r="I103" s="157"/>
      <c r="J103" s="157"/>
      <c r="K103" s="54"/>
      <c r="L103" s="160" t="s">
        <v>4803</v>
      </c>
      <c r="M103" s="156" t="s">
        <v>4803</v>
      </c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</row>
    <row r="104">
      <c r="A104" s="156">
        <v>5.000159461122E12</v>
      </c>
      <c r="B104" s="156" t="s">
        <v>4323</v>
      </c>
      <c r="C104" s="156">
        <v>0.118</v>
      </c>
      <c r="D104" s="156">
        <v>0.03</v>
      </c>
      <c r="E104" s="156">
        <v>0.02</v>
      </c>
      <c r="F104" s="157"/>
      <c r="G104" s="157"/>
      <c r="H104" s="157"/>
      <c r="I104" s="157"/>
      <c r="J104" s="157"/>
      <c r="K104" s="54"/>
      <c r="L104" s="160" t="s">
        <v>4323</v>
      </c>
      <c r="M104" s="156" t="s">
        <v>4323</v>
      </c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</row>
    <row r="105">
      <c r="A105" s="156">
        <v>7.29001011797E12</v>
      </c>
      <c r="B105" s="156" t="s">
        <v>4015</v>
      </c>
      <c r="C105" s="156">
        <v>0.06</v>
      </c>
      <c r="D105" s="156">
        <v>0.075</v>
      </c>
      <c r="E105" s="156">
        <v>0.24</v>
      </c>
      <c r="F105" s="157"/>
      <c r="G105" s="157"/>
      <c r="H105" s="157"/>
      <c r="I105" s="157"/>
      <c r="J105" s="157"/>
      <c r="K105" s="54"/>
      <c r="L105" s="160" t="s">
        <v>4015</v>
      </c>
      <c r="M105" s="156" t="s">
        <v>4015</v>
      </c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</row>
    <row r="106">
      <c r="A106" s="156">
        <v>7.290105361707E12</v>
      </c>
      <c r="B106" s="156" t="s">
        <v>2093</v>
      </c>
      <c r="C106" s="156">
        <v>0.11</v>
      </c>
      <c r="D106" s="156">
        <v>0.065</v>
      </c>
      <c r="E106" s="156">
        <v>0.02</v>
      </c>
      <c r="F106" s="157"/>
      <c r="G106" s="157"/>
      <c r="H106" s="157"/>
      <c r="I106" s="157"/>
      <c r="J106" s="157"/>
      <c r="K106" s="54"/>
      <c r="L106" s="156" t="s">
        <v>2093</v>
      </c>
      <c r="M106" s="156" t="s">
        <v>2093</v>
      </c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</row>
    <row r="107">
      <c r="A107" s="156">
        <v>7.290106658479E12</v>
      </c>
      <c r="B107" s="156" t="s">
        <v>4773</v>
      </c>
      <c r="C107" s="156">
        <v>0.16</v>
      </c>
      <c r="D107" s="156">
        <v>0.035</v>
      </c>
      <c r="E107" s="156">
        <v>0.02</v>
      </c>
      <c r="F107" s="157"/>
      <c r="G107" s="157"/>
      <c r="H107" s="157"/>
      <c r="I107" s="157"/>
      <c r="J107" s="157"/>
      <c r="K107" s="54"/>
      <c r="L107" s="160" t="s">
        <v>4773</v>
      </c>
      <c r="M107" s="156" t="s">
        <v>4773</v>
      </c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</row>
    <row r="108">
      <c r="A108" s="156">
        <v>7.290107931397E12</v>
      </c>
      <c r="B108" s="156" t="s">
        <v>2086</v>
      </c>
      <c r="C108" s="156">
        <v>0.08</v>
      </c>
      <c r="D108" s="156">
        <v>0.142</v>
      </c>
      <c r="E108" s="156">
        <v>0.037</v>
      </c>
      <c r="F108" s="157"/>
      <c r="G108" s="157"/>
      <c r="H108" s="157"/>
      <c r="I108" s="157"/>
      <c r="J108" s="157"/>
      <c r="K108" s="54"/>
      <c r="L108" s="156" t="s">
        <v>2086</v>
      </c>
      <c r="M108" s="156" t="s">
        <v>2086</v>
      </c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</row>
    <row r="109">
      <c r="A109" s="156">
        <v>7.290107943048E12</v>
      </c>
      <c r="B109" s="156" t="s">
        <v>6706</v>
      </c>
      <c r="C109" s="156">
        <v>0.08</v>
      </c>
      <c r="D109" s="156">
        <v>0.112</v>
      </c>
      <c r="E109" s="156">
        <v>0.03</v>
      </c>
      <c r="F109" s="157"/>
      <c r="G109" s="157"/>
      <c r="H109" s="157"/>
      <c r="I109" s="157"/>
      <c r="J109" s="157"/>
      <c r="K109" s="54"/>
      <c r="L109" s="160" t="s">
        <v>6706</v>
      </c>
      <c r="M109" s="156" t="s">
        <v>6706</v>
      </c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</row>
    <row r="110">
      <c r="A110" s="156">
        <v>7.290106653504E12</v>
      </c>
      <c r="B110" s="156" t="s">
        <v>4021</v>
      </c>
      <c r="C110" s="156">
        <v>0.06</v>
      </c>
      <c r="D110" s="156">
        <v>0.075</v>
      </c>
      <c r="E110" s="156">
        <v>0.24</v>
      </c>
      <c r="F110" s="157"/>
      <c r="G110" s="157"/>
      <c r="H110" s="157"/>
      <c r="I110" s="157"/>
      <c r="J110" s="157"/>
      <c r="K110" s="54"/>
      <c r="L110" s="160" t="s">
        <v>4021</v>
      </c>
      <c r="M110" s="156" t="s">
        <v>4021</v>
      </c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</row>
    <row r="111">
      <c r="A111" s="156">
        <v>7.290107937597E12</v>
      </c>
      <c r="B111" s="156" t="s">
        <v>3967</v>
      </c>
      <c r="C111" s="156">
        <v>0.16</v>
      </c>
      <c r="D111" s="156">
        <v>0.05</v>
      </c>
      <c r="E111" s="156">
        <v>0.03</v>
      </c>
      <c r="F111" s="157"/>
      <c r="G111" s="157"/>
      <c r="H111" s="157"/>
      <c r="I111" s="157"/>
      <c r="J111" s="157"/>
      <c r="K111" s="54"/>
      <c r="L111" s="160" t="s">
        <v>3967</v>
      </c>
      <c r="M111" s="156" t="s">
        <v>3967</v>
      </c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</row>
    <row r="112">
      <c r="A112" s="156">
        <v>7.290107945332E12</v>
      </c>
      <c r="B112" s="156" t="s">
        <v>238</v>
      </c>
      <c r="C112" s="156">
        <v>0.08</v>
      </c>
      <c r="D112" s="156">
        <v>0.112</v>
      </c>
      <c r="E112" s="156">
        <v>0.03</v>
      </c>
      <c r="F112" s="157"/>
      <c r="G112" s="157"/>
      <c r="H112" s="157"/>
      <c r="I112" s="157"/>
      <c r="J112" s="157"/>
      <c r="K112" s="54"/>
      <c r="L112" s="160" t="s">
        <v>238</v>
      </c>
      <c r="M112" s="156" t="s">
        <v>238</v>
      </c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</row>
    <row r="113">
      <c r="A113" s="156">
        <v>8.000500267035E12</v>
      </c>
      <c r="B113" s="156" t="s">
        <v>2115</v>
      </c>
      <c r="C113" s="156">
        <v>0.145</v>
      </c>
      <c r="D113" s="156">
        <v>0.065</v>
      </c>
      <c r="E113" s="156">
        <v>0.02</v>
      </c>
      <c r="F113" s="157"/>
      <c r="G113" s="157"/>
      <c r="H113" s="157"/>
      <c r="I113" s="157"/>
      <c r="J113" s="157"/>
      <c r="K113" s="54"/>
      <c r="L113" s="160" t="s">
        <v>2115</v>
      </c>
      <c r="M113" s="156" t="s">
        <v>2115</v>
      </c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</row>
    <row r="114">
      <c r="A114" s="156">
        <v>8.690504033431E12</v>
      </c>
      <c r="B114" s="156" t="s">
        <v>1687</v>
      </c>
      <c r="C114" s="156">
        <v>0.16</v>
      </c>
      <c r="D114" s="156">
        <v>0.05</v>
      </c>
      <c r="E114" s="156">
        <v>0.02</v>
      </c>
      <c r="F114" s="157"/>
      <c r="G114" s="157"/>
      <c r="H114" s="157"/>
      <c r="I114" s="157"/>
      <c r="J114" s="157"/>
      <c r="K114" s="54"/>
      <c r="L114" s="160" t="s">
        <v>1687</v>
      </c>
      <c r="M114" s="156" t="s">
        <v>1687</v>
      </c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</row>
    <row r="115">
      <c r="A115" s="156">
        <v>8.690504033448E12</v>
      </c>
      <c r="B115" s="156" t="s">
        <v>1693</v>
      </c>
      <c r="C115" s="156">
        <v>0.16</v>
      </c>
      <c r="D115" s="156">
        <v>0.05</v>
      </c>
      <c r="E115" s="156">
        <v>0.02</v>
      </c>
      <c r="F115" s="157"/>
      <c r="G115" s="157"/>
      <c r="H115" s="157"/>
      <c r="I115" s="157"/>
      <c r="J115" s="157"/>
      <c r="K115" s="54"/>
      <c r="L115" s="160" t="s">
        <v>1693</v>
      </c>
      <c r="M115" s="156" t="s">
        <v>1693</v>
      </c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</row>
    <row r="116">
      <c r="A116" s="156">
        <v>8.690504153764E12</v>
      </c>
      <c r="B116" s="156" t="s">
        <v>1681</v>
      </c>
      <c r="C116" s="156">
        <v>0.16</v>
      </c>
      <c r="D116" s="156">
        <v>0.05</v>
      </c>
      <c r="E116" s="156">
        <v>0.02</v>
      </c>
      <c r="F116" s="157"/>
      <c r="G116" s="157"/>
      <c r="H116" s="157"/>
      <c r="I116" s="157"/>
      <c r="J116" s="157"/>
      <c r="K116" s="54"/>
      <c r="L116" s="160" t="s">
        <v>1681</v>
      </c>
      <c r="M116" s="156" t="s">
        <v>1681</v>
      </c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</row>
    <row r="117">
      <c r="A117" s="156">
        <v>8.690504153856E12</v>
      </c>
      <c r="B117" s="156" t="s">
        <v>1699</v>
      </c>
      <c r="C117" s="156">
        <v>0.16</v>
      </c>
      <c r="D117" s="156">
        <v>0.05</v>
      </c>
      <c r="E117" s="156">
        <v>0.02</v>
      </c>
      <c r="F117" s="157"/>
      <c r="G117" s="157"/>
      <c r="H117" s="157"/>
      <c r="I117" s="157"/>
      <c r="J117" s="157"/>
      <c r="K117" s="54"/>
      <c r="L117" s="160" t="s">
        <v>1699</v>
      </c>
      <c r="M117" s="156" t="s">
        <v>1699</v>
      </c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</row>
    <row r="118">
      <c r="A118" s="156">
        <v>7.290104068539E12</v>
      </c>
      <c r="B118" s="156" t="s">
        <v>2869</v>
      </c>
      <c r="C118" s="156">
        <v>0.046</v>
      </c>
      <c r="D118" s="156">
        <v>0.076</v>
      </c>
      <c r="E118" s="156">
        <v>0.02</v>
      </c>
      <c r="F118" s="157"/>
      <c r="G118" s="157"/>
      <c r="H118" s="157"/>
      <c r="I118" s="157"/>
      <c r="J118" s="157"/>
      <c r="K118" s="54"/>
      <c r="L118" s="160" t="s">
        <v>2869</v>
      </c>
      <c r="M118" s="156" t="s">
        <v>2869</v>
      </c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</row>
    <row r="119">
      <c r="A119" s="156">
        <v>7.290008750264E12</v>
      </c>
      <c r="B119" s="157" t="s">
        <v>6707</v>
      </c>
      <c r="C119" s="156">
        <v>0.046</v>
      </c>
      <c r="D119" s="156">
        <v>0.076</v>
      </c>
      <c r="E119" s="156">
        <v>0.02</v>
      </c>
      <c r="F119" s="157"/>
      <c r="G119" s="157"/>
      <c r="H119" s="157"/>
      <c r="I119" s="157"/>
      <c r="J119" s="157"/>
      <c r="K119" s="54"/>
      <c r="L119" s="157" t="s">
        <v>6707</v>
      </c>
      <c r="M119" s="159" t="s">
        <v>6707</v>
      </c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</row>
    <row r="120">
      <c r="A120" s="156">
        <v>6.02652257834E11</v>
      </c>
      <c r="B120" s="156" t="s">
        <v>329</v>
      </c>
      <c r="C120" s="156">
        <v>0.162</v>
      </c>
      <c r="D120" s="156">
        <v>0.05</v>
      </c>
      <c r="E120" s="156">
        <v>0.02</v>
      </c>
      <c r="F120" s="157"/>
      <c r="G120" s="157"/>
      <c r="H120" s="157"/>
      <c r="I120" s="157"/>
      <c r="J120" s="157"/>
      <c r="K120" s="54"/>
      <c r="L120" s="160" t="s">
        <v>329</v>
      </c>
      <c r="M120" s="156" t="s">
        <v>329</v>
      </c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</row>
    <row r="121">
      <c r="A121" s="156">
        <v>6.02652258244E11</v>
      </c>
      <c r="B121" s="156" t="s">
        <v>317</v>
      </c>
      <c r="C121" s="156">
        <v>0.162</v>
      </c>
      <c r="D121" s="156">
        <v>0.05</v>
      </c>
      <c r="E121" s="156">
        <v>0.02</v>
      </c>
      <c r="F121" s="157"/>
      <c r="G121" s="157"/>
      <c r="H121" s="157"/>
      <c r="I121" s="157"/>
      <c r="J121" s="157"/>
      <c r="K121" s="54"/>
      <c r="L121" s="160" t="s">
        <v>317</v>
      </c>
      <c r="M121" s="156" t="s">
        <v>317</v>
      </c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</row>
    <row r="122">
      <c r="A122" s="156">
        <v>7.290112334879E12</v>
      </c>
      <c r="B122" s="156" t="s">
        <v>6708</v>
      </c>
      <c r="C122" s="156">
        <v>0.08</v>
      </c>
      <c r="D122" s="156">
        <v>0.112</v>
      </c>
      <c r="E122" s="156">
        <v>0.03</v>
      </c>
      <c r="F122" s="157"/>
      <c r="G122" s="157"/>
      <c r="H122" s="157"/>
      <c r="I122" s="157"/>
      <c r="J122" s="157"/>
      <c r="K122" s="54"/>
      <c r="L122" s="160" t="s">
        <v>6708</v>
      </c>
      <c r="M122" s="156" t="s">
        <v>6708</v>
      </c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</row>
    <row r="123">
      <c r="A123" s="156">
        <v>8.0831402E7</v>
      </c>
      <c r="B123" s="156" t="s">
        <v>2630</v>
      </c>
      <c r="C123" s="156">
        <v>0.09999999</v>
      </c>
      <c r="D123" s="156">
        <v>0.05</v>
      </c>
      <c r="E123" s="156">
        <v>0.01</v>
      </c>
      <c r="F123" s="157"/>
      <c r="G123" s="157"/>
      <c r="H123" s="157"/>
      <c r="I123" s="157"/>
      <c r="J123" s="157"/>
      <c r="K123" s="54"/>
      <c r="L123" s="160" t="s">
        <v>2630</v>
      </c>
      <c r="M123" s="156" t="s">
        <v>2630</v>
      </c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</row>
    <row r="124">
      <c r="A124" s="156">
        <v>8.0854753E7</v>
      </c>
      <c r="B124" s="156" t="s">
        <v>2636</v>
      </c>
      <c r="C124" s="156">
        <v>0.09999999</v>
      </c>
      <c r="D124" s="156">
        <v>0.05</v>
      </c>
      <c r="E124" s="156">
        <v>0.01</v>
      </c>
      <c r="F124" s="157"/>
      <c r="G124" s="157"/>
      <c r="H124" s="157"/>
      <c r="I124" s="157"/>
      <c r="J124" s="157"/>
      <c r="K124" s="54"/>
      <c r="L124" s="160" t="s">
        <v>2636</v>
      </c>
      <c r="M124" s="156" t="s">
        <v>2636</v>
      </c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</row>
    <row r="125">
      <c r="A125" s="156">
        <v>7.290112349354E12</v>
      </c>
      <c r="B125" s="156" t="s">
        <v>1430</v>
      </c>
      <c r="C125" s="156">
        <v>0.06</v>
      </c>
      <c r="D125" s="156">
        <v>0.06</v>
      </c>
      <c r="E125" s="156">
        <v>0.015</v>
      </c>
      <c r="F125" s="157"/>
      <c r="G125" s="157"/>
      <c r="H125" s="157"/>
      <c r="I125" s="157"/>
      <c r="J125" s="157"/>
      <c r="K125" s="54"/>
      <c r="L125" s="160" t="s">
        <v>1430</v>
      </c>
      <c r="M125" s="156" t="s">
        <v>1430</v>
      </c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</row>
    <row r="126">
      <c r="A126" s="156">
        <v>7.290112349347E12</v>
      </c>
      <c r="B126" s="156" t="s">
        <v>1466</v>
      </c>
      <c r="C126" s="156">
        <v>0.06</v>
      </c>
      <c r="D126" s="156">
        <v>0.06</v>
      </c>
      <c r="E126" s="156">
        <v>0.015</v>
      </c>
      <c r="F126" s="157"/>
      <c r="G126" s="157"/>
      <c r="H126" s="157"/>
      <c r="I126" s="157"/>
      <c r="J126" s="157"/>
      <c r="K126" s="54"/>
      <c r="L126" s="160" t="s">
        <v>1466</v>
      </c>
      <c r="M126" s="156" t="s">
        <v>1466</v>
      </c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</row>
    <row r="127">
      <c r="A127" s="156">
        <v>7.290112349378E12</v>
      </c>
      <c r="B127" s="156" t="s">
        <v>1439</v>
      </c>
      <c r="C127" s="156">
        <v>0.06</v>
      </c>
      <c r="D127" s="156">
        <v>0.06</v>
      </c>
      <c r="E127" s="156">
        <v>0.015</v>
      </c>
      <c r="F127" s="157"/>
      <c r="G127" s="157"/>
      <c r="H127" s="157"/>
      <c r="I127" s="157"/>
      <c r="J127" s="157"/>
      <c r="K127" s="54"/>
      <c r="L127" s="160" t="s">
        <v>1439</v>
      </c>
      <c r="M127" s="156" t="s">
        <v>1439</v>
      </c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</row>
    <row r="128">
      <c r="A128" s="156">
        <v>7.290006855039E12</v>
      </c>
      <c r="B128" s="157" t="s">
        <v>6709</v>
      </c>
      <c r="C128" s="156">
        <v>0.125</v>
      </c>
      <c r="D128" s="156">
        <v>0.03</v>
      </c>
      <c r="E128" s="156">
        <v>0.01</v>
      </c>
      <c r="F128" s="157"/>
      <c r="G128" s="157"/>
      <c r="H128" s="157"/>
      <c r="I128" s="157"/>
      <c r="J128" s="157"/>
      <c r="K128" s="54"/>
      <c r="L128" s="157" t="s">
        <v>6709</v>
      </c>
      <c r="M128" s="159" t="s">
        <v>6709</v>
      </c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</row>
    <row r="129">
      <c r="A129" s="156">
        <v>7.290006855046E12</v>
      </c>
      <c r="B129" s="157" t="s">
        <v>6710</v>
      </c>
      <c r="C129" s="156">
        <v>0.125</v>
      </c>
      <c r="D129" s="156">
        <v>0.03</v>
      </c>
      <c r="E129" s="156">
        <v>0.01</v>
      </c>
      <c r="F129" s="157"/>
      <c r="G129" s="157"/>
      <c r="H129" s="157"/>
      <c r="I129" s="157"/>
      <c r="J129" s="157"/>
      <c r="K129" s="54"/>
      <c r="L129" s="157" t="s">
        <v>6710</v>
      </c>
      <c r="M129" s="159" t="s">
        <v>6710</v>
      </c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</row>
    <row r="130">
      <c r="A130" s="156">
        <v>7.290006855008E12</v>
      </c>
      <c r="B130" s="157" t="s">
        <v>6711</v>
      </c>
      <c r="C130" s="156">
        <v>0.125</v>
      </c>
      <c r="D130" s="156">
        <v>0.03</v>
      </c>
      <c r="E130" s="156">
        <v>0.01</v>
      </c>
      <c r="F130" s="157"/>
      <c r="G130" s="157"/>
      <c r="H130" s="157"/>
      <c r="I130" s="157"/>
      <c r="J130" s="157"/>
      <c r="K130" s="54"/>
      <c r="L130" s="157" t="s">
        <v>6711</v>
      </c>
      <c r="M130" s="159" t="s">
        <v>6711</v>
      </c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</row>
    <row r="131">
      <c r="A131" s="156">
        <v>7.290006855015E12</v>
      </c>
      <c r="B131" s="157" t="s">
        <v>6712</v>
      </c>
      <c r="C131" s="156">
        <v>0.125</v>
      </c>
      <c r="D131" s="156">
        <v>0.03</v>
      </c>
      <c r="E131" s="156">
        <v>0.01</v>
      </c>
      <c r="F131" s="157"/>
      <c r="G131" s="157"/>
      <c r="H131" s="157"/>
      <c r="I131" s="157"/>
      <c r="J131" s="157"/>
      <c r="K131" s="54"/>
      <c r="L131" s="157" t="s">
        <v>6712</v>
      </c>
      <c r="M131" s="159" t="s">
        <v>6712</v>
      </c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</row>
    <row r="132">
      <c r="A132" s="156">
        <v>7.290107649117E12</v>
      </c>
      <c r="B132" s="156" t="s">
        <v>770</v>
      </c>
      <c r="C132" s="156">
        <v>0.11</v>
      </c>
      <c r="D132" s="156">
        <v>0.03</v>
      </c>
      <c r="E132" s="156">
        <v>0.02</v>
      </c>
      <c r="F132" s="157"/>
      <c r="G132" s="157"/>
      <c r="H132" s="157"/>
      <c r="I132" s="157"/>
      <c r="J132" s="157"/>
      <c r="K132" s="54"/>
      <c r="L132" s="160" t="s">
        <v>770</v>
      </c>
      <c r="M132" s="156" t="s">
        <v>770</v>
      </c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</row>
    <row r="133">
      <c r="A133" s="156">
        <v>7.290112348241E12</v>
      </c>
      <c r="B133" s="156" t="s">
        <v>3433</v>
      </c>
      <c r="C133" s="156">
        <v>0.16</v>
      </c>
      <c r="D133" s="156">
        <v>0.035</v>
      </c>
      <c r="E133" s="156">
        <v>0.017</v>
      </c>
      <c r="F133" s="157"/>
      <c r="G133" s="157"/>
      <c r="H133" s="157"/>
      <c r="I133" s="157"/>
      <c r="J133" s="157"/>
      <c r="K133" s="54"/>
      <c r="L133" s="160" t="s">
        <v>3433</v>
      </c>
      <c r="M133" s="156" t="s">
        <v>3433</v>
      </c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</row>
    <row r="134">
      <c r="A134" s="156">
        <v>7.290112348234E12</v>
      </c>
      <c r="B134" s="156" t="s">
        <v>3387</v>
      </c>
      <c r="C134" s="156">
        <v>0.16</v>
      </c>
      <c r="D134" s="156">
        <v>0.035</v>
      </c>
      <c r="E134" s="156">
        <v>0.017</v>
      </c>
      <c r="F134" s="157"/>
      <c r="G134" s="157"/>
      <c r="H134" s="157"/>
      <c r="I134" s="157"/>
      <c r="J134" s="157"/>
      <c r="K134" s="54"/>
      <c r="L134" s="160" t="s">
        <v>3387</v>
      </c>
      <c r="M134" s="156" t="s">
        <v>3387</v>
      </c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</row>
    <row r="135">
      <c r="A135" s="156">
        <v>7.29011235035E12</v>
      </c>
      <c r="B135" s="156" t="s">
        <v>3427</v>
      </c>
      <c r="C135" s="156">
        <v>0.16</v>
      </c>
      <c r="D135" s="156">
        <v>0.035</v>
      </c>
      <c r="E135" s="156">
        <v>0.017</v>
      </c>
      <c r="F135" s="157"/>
      <c r="G135" s="157"/>
      <c r="H135" s="157"/>
      <c r="I135" s="157"/>
      <c r="J135" s="157"/>
      <c r="K135" s="54"/>
      <c r="L135" s="160" t="s">
        <v>3427</v>
      </c>
      <c r="M135" s="156" t="s">
        <v>3427</v>
      </c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</row>
    <row r="136">
      <c r="A136" s="156">
        <v>7.290112497918E12</v>
      </c>
      <c r="B136" s="156" t="s">
        <v>782</v>
      </c>
      <c r="C136" s="156">
        <v>0.16</v>
      </c>
      <c r="D136" s="156">
        <v>0.037</v>
      </c>
      <c r="E136" s="156">
        <v>0.02</v>
      </c>
      <c r="F136" s="157"/>
      <c r="G136" s="157"/>
      <c r="H136" s="157"/>
      <c r="I136" s="157"/>
      <c r="J136" s="157"/>
      <c r="K136" s="54"/>
      <c r="L136" s="160" t="s">
        <v>782</v>
      </c>
      <c r="M136" s="156" t="s">
        <v>782</v>
      </c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</row>
    <row r="137">
      <c r="A137" s="156">
        <v>7.290112497901E12</v>
      </c>
      <c r="B137" s="156" t="s">
        <v>788</v>
      </c>
      <c r="C137" s="156">
        <v>0.16</v>
      </c>
      <c r="D137" s="156">
        <v>0.037</v>
      </c>
      <c r="E137" s="156">
        <v>0.02</v>
      </c>
      <c r="F137" s="157"/>
      <c r="G137" s="157"/>
      <c r="H137" s="157"/>
      <c r="I137" s="157"/>
      <c r="J137" s="157"/>
      <c r="K137" s="54"/>
      <c r="L137" s="160" t="s">
        <v>788</v>
      </c>
      <c r="M137" s="156" t="s">
        <v>788</v>
      </c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</row>
    <row r="138">
      <c r="A138" s="156">
        <v>8.690526009292E12</v>
      </c>
      <c r="B138" s="156" t="s">
        <v>4830</v>
      </c>
      <c r="C138" s="156">
        <v>0.11</v>
      </c>
      <c r="D138" s="156">
        <v>0.045</v>
      </c>
      <c r="E138" s="156">
        <v>0.02</v>
      </c>
      <c r="F138" s="157"/>
      <c r="G138" s="157"/>
      <c r="H138" s="157"/>
      <c r="I138" s="157"/>
      <c r="J138" s="157"/>
      <c r="K138" s="54"/>
      <c r="L138" s="160" t="s">
        <v>4830</v>
      </c>
      <c r="M138" s="156" t="s">
        <v>4830</v>
      </c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</row>
    <row r="139">
      <c r="A139" s="156">
        <v>8.690526009216E12</v>
      </c>
      <c r="B139" s="156" t="s">
        <v>4823</v>
      </c>
      <c r="C139" s="156">
        <v>0.04</v>
      </c>
      <c r="D139" s="156">
        <v>0.115</v>
      </c>
      <c r="E139" s="156">
        <v>0.03</v>
      </c>
      <c r="F139" s="157"/>
      <c r="G139" s="157"/>
      <c r="H139" s="157"/>
      <c r="I139" s="157"/>
      <c r="J139" s="157"/>
      <c r="K139" s="54"/>
      <c r="L139" s="160" t="s">
        <v>4823</v>
      </c>
      <c r="M139" s="156" t="s">
        <v>4823</v>
      </c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</row>
    <row r="140">
      <c r="A140" s="156">
        <v>8.690526009179E12</v>
      </c>
      <c r="B140" s="156" t="s">
        <v>6713</v>
      </c>
      <c r="C140" s="156">
        <v>0.11</v>
      </c>
      <c r="D140" s="156">
        <v>0.055</v>
      </c>
      <c r="E140" s="156">
        <v>0.02</v>
      </c>
      <c r="F140" s="157"/>
      <c r="G140" s="157"/>
      <c r="H140" s="157"/>
      <c r="I140" s="157"/>
      <c r="J140" s="157"/>
      <c r="K140" s="54"/>
      <c r="L140" s="160" t="s">
        <v>6713</v>
      </c>
      <c r="M140" s="156" t="s">
        <v>6713</v>
      </c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</row>
    <row r="141">
      <c r="A141" s="156">
        <v>7.290112358004E12</v>
      </c>
      <c r="B141" s="156" t="s">
        <v>3421</v>
      </c>
      <c r="C141" s="156">
        <v>0.16</v>
      </c>
      <c r="D141" s="156">
        <v>0.035</v>
      </c>
      <c r="E141" s="156">
        <v>0.018</v>
      </c>
      <c r="F141" s="157"/>
      <c r="G141" s="157"/>
      <c r="H141" s="157"/>
      <c r="I141" s="157"/>
      <c r="J141" s="157"/>
      <c r="K141" s="54"/>
      <c r="L141" s="160" t="s">
        <v>3421</v>
      </c>
      <c r="M141" s="156" t="s">
        <v>3421</v>
      </c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</row>
    <row r="142">
      <c r="A142" s="156">
        <v>8.017718E7</v>
      </c>
      <c r="B142" s="156" t="s">
        <v>2108</v>
      </c>
      <c r="C142" s="156">
        <v>0.04</v>
      </c>
      <c r="D142" s="156">
        <v>0.11</v>
      </c>
      <c r="E142" s="156">
        <v>0.01</v>
      </c>
      <c r="F142" s="157"/>
      <c r="G142" s="157"/>
      <c r="H142" s="157"/>
      <c r="I142" s="157"/>
      <c r="J142" s="157"/>
      <c r="K142" s="54"/>
      <c r="L142" s="160" t="s">
        <v>2108</v>
      </c>
      <c r="M142" s="156" t="s">
        <v>2108</v>
      </c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</row>
    <row r="143">
      <c r="A143" s="156">
        <v>7.29011056593E12</v>
      </c>
      <c r="B143" s="156" t="s">
        <v>1323</v>
      </c>
      <c r="C143" s="156">
        <v>0.135</v>
      </c>
      <c r="D143" s="156">
        <v>0.035</v>
      </c>
      <c r="E143" s="156">
        <v>0.02</v>
      </c>
      <c r="F143" s="157"/>
      <c r="G143" s="157"/>
      <c r="H143" s="157"/>
      <c r="I143" s="157"/>
      <c r="J143" s="157"/>
      <c r="K143" s="54"/>
      <c r="L143" s="160" t="s">
        <v>1323</v>
      </c>
      <c r="M143" s="156" t="s">
        <v>1323</v>
      </c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</row>
    <row r="144">
      <c r="A144" s="156">
        <v>7.290107947503E12</v>
      </c>
      <c r="B144" s="156" t="s">
        <v>1317</v>
      </c>
      <c r="C144" s="156">
        <v>0.135</v>
      </c>
      <c r="D144" s="156">
        <v>0.035</v>
      </c>
      <c r="E144" s="156">
        <v>0.02</v>
      </c>
      <c r="F144" s="157"/>
      <c r="G144" s="157"/>
      <c r="H144" s="157"/>
      <c r="I144" s="157"/>
      <c r="J144" s="157"/>
      <c r="K144" s="54"/>
      <c r="L144" s="160" t="s">
        <v>1317</v>
      </c>
      <c r="M144" s="156" t="s">
        <v>1317</v>
      </c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</row>
    <row r="145">
      <c r="A145" s="156">
        <v>7.290107947497E12</v>
      </c>
      <c r="B145" s="156" t="s">
        <v>1310</v>
      </c>
      <c r="C145" s="156">
        <v>0.135</v>
      </c>
      <c r="D145" s="156">
        <v>0.035</v>
      </c>
      <c r="E145" s="156">
        <v>0.02</v>
      </c>
      <c r="F145" s="157"/>
      <c r="G145" s="157"/>
      <c r="H145" s="157"/>
      <c r="I145" s="157"/>
      <c r="J145" s="157"/>
      <c r="K145" s="54"/>
      <c r="L145" s="160" t="s">
        <v>1310</v>
      </c>
      <c r="M145" s="156" t="s">
        <v>1310</v>
      </c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</row>
    <row r="146">
      <c r="A146" s="156">
        <v>7.610046000808E12</v>
      </c>
      <c r="B146" s="156" t="s">
        <v>2024</v>
      </c>
      <c r="C146" s="156">
        <v>0.14</v>
      </c>
      <c r="D146" s="156">
        <v>0.048</v>
      </c>
      <c r="E146" s="156">
        <v>0.013</v>
      </c>
      <c r="F146" s="157"/>
      <c r="G146" s="157"/>
      <c r="H146" s="157"/>
      <c r="I146" s="157"/>
      <c r="J146" s="157"/>
      <c r="K146" s="54"/>
      <c r="L146" s="160" t="s">
        <v>2024</v>
      </c>
      <c r="M146" s="156" t="s">
        <v>2024</v>
      </c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</row>
    <row r="147">
      <c r="A147" s="156">
        <v>7.610046000822E12</v>
      </c>
      <c r="B147" s="156" t="s">
        <v>2032</v>
      </c>
      <c r="C147" s="156">
        <v>0.14</v>
      </c>
      <c r="D147" s="156">
        <v>0.048</v>
      </c>
      <c r="E147" s="156">
        <v>0.013</v>
      </c>
      <c r="F147" s="157"/>
      <c r="G147" s="157"/>
      <c r="H147" s="157"/>
      <c r="I147" s="157"/>
      <c r="J147" s="157"/>
      <c r="K147" s="54"/>
      <c r="L147" s="160" t="s">
        <v>2032</v>
      </c>
      <c r="M147" s="156" t="s">
        <v>2032</v>
      </c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</row>
    <row r="148">
      <c r="A148" s="156">
        <v>5.00015952832E12</v>
      </c>
      <c r="B148" s="156" t="s">
        <v>317</v>
      </c>
      <c r="C148" s="156">
        <v>0.162</v>
      </c>
      <c r="D148" s="156">
        <v>0.05</v>
      </c>
      <c r="E148" s="156">
        <v>0.02</v>
      </c>
      <c r="F148" s="157"/>
      <c r="G148" s="157"/>
      <c r="H148" s="157"/>
      <c r="I148" s="157"/>
      <c r="J148" s="157"/>
      <c r="K148" s="54"/>
      <c r="L148" s="160" t="s">
        <v>317</v>
      </c>
      <c r="M148" s="156" t="s">
        <v>317</v>
      </c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</row>
    <row r="149">
      <c r="A149" s="156">
        <v>8.69012006017E12</v>
      </c>
      <c r="B149" s="156" t="s">
        <v>3152</v>
      </c>
      <c r="C149" s="156">
        <v>0.11</v>
      </c>
      <c r="D149" s="156">
        <v>0.03</v>
      </c>
      <c r="E149" s="156">
        <v>0.02</v>
      </c>
      <c r="F149" s="157"/>
      <c r="G149" s="157"/>
      <c r="H149" s="157"/>
      <c r="I149" s="157"/>
      <c r="J149" s="157"/>
      <c r="K149" s="54"/>
      <c r="L149" s="160" t="s">
        <v>3152</v>
      </c>
      <c r="M149" s="156" t="s">
        <v>3152</v>
      </c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</row>
    <row r="150">
      <c r="A150" s="156">
        <v>4.0052403E7</v>
      </c>
      <c r="B150" s="156" t="s">
        <v>2172</v>
      </c>
      <c r="C150" s="156">
        <v>0.097</v>
      </c>
      <c r="D150" s="156">
        <v>0.064</v>
      </c>
      <c r="E150" s="156">
        <v>0.01</v>
      </c>
      <c r="F150" s="157"/>
      <c r="G150" s="157"/>
      <c r="H150" s="157"/>
      <c r="I150" s="157"/>
      <c r="J150" s="157"/>
      <c r="K150" s="54"/>
      <c r="L150" s="160" t="s">
        <v>2172</v>
      </c>
      <c r="M150" s="156" t="s">
        <v>2172</v>
      </c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</row>
    <row r="151">
      <c r="A151" s="156">
        <v>3.800020423578E12</v>
      </c>
      <c r="B151" s="156" t="s">
        <v>2185</v>
      </c>
      <c r="C151" s="156">
        <v>0.12</v>
      </c>
      <c r="D151" s="156">
        <v>0.03</v>
      </c>
      <c r="E151" s="156">
        <v>0.018</v>
      </c>
      <c r="F151" s="157"/>
      <c r="G151" s="157"/>
      <c r="H151" s="157"/>
      <c r="I151" s="157"/>
      <c r="J151" s="157"/>
      <c r="K151" s="54"/>
      <c r="L151" s="160" t="s">
        <v>2185</v>
      </c>
      <c r="M151" s="156" t="s">
        <v>2185</v>
      </c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</row>
    <row r="152">
      <c r="A152" s="156">
        <v>3.800020491393E12</v>
      </c>
      <c r="B152" s="156" t="s">
        <v>2179</v>
      </c>
      <c r="C152" s="156">
        <v>0.12</v>
      </c>
      <c r="D152" s="156">
        <v>0.03</v>
      </c>
      <c r="E152" s="156">
        <v>0.018</v>
      </c>
      <c r="F152" s="157"/>
      <c r="G152" s="157"/>
      <c r="H152" s="157"/>
      <c r="I152" s="157"/>
      <c r="J152" s="157"/>
      <c r="K152" s="54"/>
      <c r="L152" s="160" t="s">
        <v>2179</v>
      </c>
      <c r="M152" s="156" t="s">
        <v>2179</v>
      </c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</row>
    <row r="153">
      <c r="A153" s="156">
        <v>3.80002041813E12</v>
      </c>
      <c r="B153" s="156" t="s">
        <v>2191</v>
      </c>
      <c r="C153" s="156">
        <v>0.12</v>
      </c>
      <c r="D153" s="156">
        <v>0.03</v>
      </c>
      <c r="E153" s="156">
        <v>0.018</v>
      </c>
      <c r="F153" s="157"/>
      <c r="G153" s="157"/>
      <c r="H153" s="157"/>
      <c r="I153" s="157"/>
      <c r="J153" s="157"/>
      <c r="K153" s="54"/>
      <c r="L153" s="160" t="s">
        <v>2191</v>
      </c>
      <c r="M153" s="156" t="s">
        <v>2191</v>
      </c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</row>
    <row r="154">
      <c r="A154" s="156">
        <v>7.290000170077E12</v>
      </c>
      <c r="B154" s="157" t="s">
        <v>6714</v>
      </c>
      <c r="C154" s="156">
        <v>0.16</v>
      </c>
      <c r="D154" s="156">
        <v>0.079</v>
      </c>
      <c r="E154" s="156">
        <v>0.02</v>
      </c>
      <c r="F154" s="157"/>
      <c r="G154" s="157"/>
      <c r="H154" s="157"/>
      <c r="I154" s="157"/>
      <c r="J154" s="157"/>
      <c r="K154" s="54"/>
      <c r="L154" s="157" t="s">
        <v>6714</v>
      </c>
      <c r="M154" s="159" t="s">
        <v>6714</v>
      </c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</row>
    <row r="155">
      <c r="A155" s="156">
        <v>7.290000170053E12</v>
      </c>
      <c r="B155" s="157" t="s">
        <v>6715</v>
      </c>
      <c r="C155" s="156">
        <v>0.16</v>
      </c>
      <c r="D155" s="156">
        <v>0.079</v>
      </c>
      <c r="E155" s="156">
        <v>0.02</v>
      </c>
      <c r="F155" s="157"/>
      <c r="G155" s="157"/>
      <c r="H155" s="157"/>
      <c r="I155" s="157"/>
      <c r="J155" s="157"/>
      <c r="K155" s="54"/>
      <c r="L155" s="157" t="s">
        <v>6715</v>
      </c>
      <c r="M155" s="159" t="s">
        <v>6715</v>
      </c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</row>
    <row r="156">
      <c r="A156" s="156">
        <v>7.290008747424E12</v>
      </c>
      <c r="B156" s="157" t="s">
        <v>6716</v>
      </c>
      <c r="C156" s="156">
        <v>0.16</v>
      </c>
      <c r="D156" s="156">
        <v>0.079</v>
      </c>
      <c r="E156" s="156">
        <v>0.02</v>
      </c>
      <c r="F156" s="157"/>
      <c r="G156" s="157"/>
      <c r="H156" s="157"/>
      <c r="I156" s="157"/>
      <c r="J156" s="157"/>
      <c r="K156" s="54"/>
      <c r="L156" s="157" t="s">
        <v>6716</v>
      </c>
      <c r="M156" s="159" t="s">
        <v>6716</v>
      </c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</row>
    <row r="157">
      <c r="A157" s="156">
        <v>7.2900087504E12</v>
      </c>
      <c r="B157" s="157" t="s">
        <v>6717</v>
      </c>
      <c r="C157" s="156">
        <v>0.16</v>
      </c>
      <c r="D157" s="156">
        <v>0.079</v>
      </c>
      <c r="E157" s="156">
        <v>0.02</v>
      </c>
      <c r="F157" s="157"/>
      <c r="G157" s="157"/>
      <c r="H157" s="157"/>
      <c r="I157" s="157"/>
      <c r="J157" s="157"/>
      <c r="K157" s="54"/>
      <c r="L157" s="157" t="s">
        <v>6717</v>
      </c>
      <c r="M157" s="159" t="s">
        <v>6717</v>
      </c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</row>
    <row r="158">
      <c r="A158" s="156">
        <v>7.724511061E10</v>
      </c>
      <c r="B158" s="156" t="s">
        <v>2883</v>
      </c>
      <c r="C158" s="156">
        <v>0.12</v>
      </c>
      <c r="D158" s="156">
        <v>0.19</v>
      </c>
      <c r="E158" s="156">
        <v>0.015</v>
      </c>
      <c r="F158" s="157"/>
      <c r="G158" s="157"/>
      <c r="H158" s="157"/>
      <c r="I158" s="157"/>
      <c r="J158" s="157"/>
      <c r="K158" s="54"/>
      <c r="L158" s="160" t="s">
        <v>2883</v>
      </c>
      <c r="M158" s="156" t="s">
        <v>2883</v>
      </c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</row>
    <row r="159">
      <c r="A159" s="156">
        <v>5.413548280189E12</v>
      </c>
      <c r="B159" s="156" t="s">
        <v>2147</v>
      </c>
      <c r="C159" s="156">
        <v>0.135</v>
      </c>
      <c r="D159" s="156">
        <v>0.165</v>
      </c>
      <c r="E159" s="156">
        <v>0.03</v>
      </c>
      <c r="F159" s="157"/>
      <c r="G159" s="157"/>
      <c r="H159" s="157"/>
      <c r="I159" s="157"/>
      <c r="J159" s="157"/>
      <c r="K159" s="54"/>
      <c r="L159" s="156" t="s">
        <v>2147</v>
      </c>
      <c r="M159" s="156" t="s">
        <v>2147</v>
      </c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</row>
    <row r="160">
      <c r="A160" s="156">
        <v>4.014400914696E12</v>
      </c>
      <c r="B160" s="156" t="s">
        <v>4869</v>
      </c>
      <c r="C160" s="156">
        <v>0.118</v>
      </c>
      <c r="D160" s="156">
        <v>0.185</v>
      </c>
      <c r="E160" s="156">
        <v>0.023</v>
      </c>
      <c r="F160" s="157"/>
      <c r="G160" s="157"/>
      <c r="H160" s="157"/>
      <c r="I160" s="157"/>
      <c r="J160" s="157"/>
      <c r="K160" s="54"/>
      <c r="L160" s="160" t="s">
        <v>4869</v>
      </c>
      <c r="M160" s="156" t="s">
        <v>4869</v>
      </c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</row>
    <row r="161">
      <c r="A161" s="156">
        <v>7.62230061782E12</v>
      </c>
      <c r="B161" s="156" t="s">
        <v>2730</v>
      </c>
      <c r="C161" s="156">
        <v>0.15</v>
      </c>
      <c r="D161" s="156">
        <v>0.079</v>
      </c>
      <c r="E161" s="156">
        <v>0.02</v>
      </c>
      <c r="F161" s="157"/>
      <c r="G161" s="157"/>
      <c r="H161" s="157"/>
      <c r="I161" s="157"/>
      <c r="J161" s="157"/>
      <c r="K161" s="54"/>
      <c r="L161" s="160" t="s">
        <v>2730</v>
      </c>
      <c r="M161" s="156" t="s">
        <v>2730</v>
      </c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</row>
    <row r="162">
      <c r="A162" s="156">
        <v>8.0974482E7</v>
      </c>
      <c r="B162" s="156" t="s">
        <v>2123</v>
      </c>
      <c r="C162" s="156">
        <v>0.05</v>
      </c>
      <c r="D162" s="156">
        <v>0.07</v>
      </c>
      <c r="E162" s="156">
        <v>0.055</v>
      </c>
      <c r="F162" s="157"/>
      <c r="G162" s="157"/>
      <c r="H162" s="157"/>
      <c r="I162" s="157"/>
      <c r="J162" s="157"/>
      <c r="K162" s="54"/>
      <c r="L162" s="156" t="s">
        <v>2123</v>
      </c>
      <c r="M162" s="156" t="s">
        <v>2123</v>
      </c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</row>
    <row r="163">
      <c r="A163" s="156">
        <v>7.290106662964E12</v>
      </c>
      <c r="B163" s="156" t="s">
        <v>3141</v>
      </c>
      <c r="C163" s="156">
        <v>0.09999999</v>
      </c>
      <c r="D163" s="156">
        <v>0.14</v>
      </c>
      <c r="E163" s="156">
        <v>0.015</v>
      </c>
      <c r="F163" s="157"/>
      <c r="G163" s="157"/>
      <c r="H163" s="157"/>
      <c r="I163" s="157"/>
      <c r="J163" s="157"/>
      <c r="K163" s="54"/>
      <c r="L163" s="160" t="s">
        <v>3141</v>
      </c>
      <c r="M163" s="156" t="s">
        <v>3141</v>
      </c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</row>
    <row r="164">
      <c r="A164" s="156">
        <v>7.290107951623E12</v>
      </c>
      <c r="B164" s="156" t="s">
        <v>638</v>
      </c>
      <c r="C164" s="156">
        <v>0.16</v>
      </c>
      <c r="D164" s="156">
        <v>0.079</v>
      </c>
      <c r="E164" s="156">
        <v>0.02</v>
      </c>
      <c r="F164" s="157"/>
      <c r="G164" s="157"/>
      <c r="H164" s="157"/>
      <c r="I164" s="157"/>
      <c r="J164" s="157"/>
      <c r="K164" s="54"/>
      <c r="L164" s="160" t="s">
        <v>638</v>
      </c>
      <c r="M164" s="156" t="s">
        <v>638</v>
      </c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52"/>
      <c r="Y164" s="152"/>
      <c r="Z164" s="152"/>
    </row>
    <row r="165">
      <c r="A165" s="156">
        <v>4.025700001023E12</v>
      </c>
      <c r="B165" s="156" t="s">
        <v>2711</v>
      </c>
      <c r="C165" s="156">
        <v>0.15</v>
      </c>
      <c r="D165" s="156">
        <v>0.079</v>
      </c>
      <c r="E165" s="156">
        <v>0.02</v>
      </c>
      <c r="F165" s="157"/>
      <c r="G165" s="157"/>
      <c r="H165" s="157"/>
      <c r="I165" s="157"/>
      <c r="J165" s="157"/>
      <c r="K165" s="54"/>
      <c r="L165" s="160" t="s">
        <v>2711</v>
      </c>
      <c r="M165" s="156" t="s">
        <v>2711</v>
      </c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2"/>
      <c r="Y165" s="152"/>
      <c r="Z165" s="152"/>
    </row>
    <row r="166">
      <c r="A166" s="156">
        <v>8.000500227848E12</v>
      </c>
      <c r="B166" s="156" t="s">
        <v>3161</v>
      </c>
      <c r="C166" s="156">
        <v>0.132</v>
      </c>
      <c r="D166" s="156">
        <v>0.161</v>
      </c>
      <c r="E166" s="156">
        <v>0.045</v>
      </c>
      <c r="F166" s="157"/>
      <c r="G166" s="157"/>
      <c r="H166" s="157"/>
      <c r="I166" s="157"/>
      <c r="J166" s="157"/>
      <c r="K166" s="54"/>
      <c r="L166" s="160" t="s">
        <v>3161</v>
      </c>
      <c r="M166" s="156" t="s">
        <v>3161</v>
      </c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</row>
    <row r="167">
      <c r="A167" s="156">
        <v>9.044400841E12</v>
      </c>
      <c r="B167" s="156" t="s">
        <v>3457</v>
      </c>
      <c r="C167" s="156">
        <v>0.08</v>
      </c>
      <c r="D167" s="156">
        <v>0.22</v>
      </c>
      <c r="E167" s="156">
        <v>0.05</v>
      </c>
      <c r="F167" s="157"/>
      <c r="G167" s="157"/>
      <c r="H167" s="157"/>
      <c r="I167" s="157"/>
      <c r="J167" s="157"/>
      <c r="K167" s="54"/>
      <c r="L167" s="160" t="s">
        <v>3457</v>
      </c>
      <c r="M167" s="156" t="s">
        <v>3457</v>
      </c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</row>
    <row r="168">
      <c r="A168" s="156">
        <v>7.290112494238E12</v>
      </c>
      <c r="B168" s="156" t="s">
        <v>745</v>
      </c>
      <c r="C168" s="156">
        <v>0.083</v>
      </c>
      <c r="D168" s="156">
        <v>0.12</v>
      </c>
      <c r="E168" s="156">
        <v>0.02</v>
      </c>
      <c r="F168" s="157"/>
      <c r="G168" s="157"/>
      <c r="H168" s="157"/>
      <c r="I168" s="157"/>
      <c r="J168" s="157"/>
      <c r="K168" s="54"/>
      <c r="L168" s="156" t="s">
        <v>745</v>
      </c>
      <c r="M168" s="156" t="s">
        <v>745</v>
      </c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</row>
    <row r="169">
      <c r="A169" s="156">
        <v>7.290112494283E12</v>
      </c>
      <c r="B169" s="156" t="s">
        <v>758</v>
      </c>
      <c r="C169" s="156">
        <v>0.083</v>
      </c>
      <c r="D169" s="156">
        <v>0.12</v>
      </c>
      <c r="E169" s="156">
        <v>0.02</v>
      </c>
      <c r="F169" s="157"/>
      <c r="G169" s="157"/>
      <c r="H169" s="157"/>
      <c r="I169" s="157"/>
      <c r="J169" s="157"/>
      <c r="K169" s="54"/>
      <c r="L169" s="156" t="s">
        <v>758</v>
      </c>
      <c r="M169" s="156" t="s">
        <v>758</v>
      </c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</row>
    <row r="170">
      <c r="A170" s="156">
        <v>7.290112494276E12</v>
      </c>
      <c r="B170" s="156" t="s">
        <v>739</v>
      </c>
      <c r="C170" s="156">
        <v>0.083</v>
      </c>
      <c r="D170" s="156">
        <v>0.12</v>
      </c>
      <c r="E170" s="156">
        <v>0.02</v>
      </c>
      <c r="F170" s="157"/>
      <c r="G170" s="157"/>
      <c r="H170" s="157"/>
      <c r="I170" s="157"/>
      <c r="J170" s="157"/>
      <c r="K170" s="54"/>
      <c r="L170" s="156" t="s">
        <v>739</v>
      </c>
      <c r="M170" s="156" t="s">
        <v>739</v>
      </c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</row>
    <row r="171">
      <c r="A171" s="156">
        <v>7.290112494221E12</v>
      </c>
      <c r="B171" s="156" t="s">
        <v>726</v>
      </c>
      <c r="C171" s="156">
        <v>0.083</v>
      </c>
      <c r="D171" s="156">
        <v>0.12</v>
      </c>
      <c r="E171" s="156">
        <v>0.02</v>
      </c>
      <c r="F171" s="157"/>
      <c r="G171" s="157"/>
      <c r="H171" s="157"/>
      <c r="I171" s="157"/>
      <c r="J171" s="157"/>
      <c r="K171" s="54"/>
      <c r="L171" s="156" t="s">
        <v>726</v>
      </c>
      <c r="M171" s="156" t="s">
        <v>726</v>
      </c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  <c r="Z171" s="152"/>
    </row>
    <row r="172">
      <c r="A172" s="156">
        <v>7.290112494313E12</v>
      </c>
      <c r="B172" s="156" t="s">
        <v>733</v>
      </c>
      <c r="C172" s="156">
        <v>0.083</v>
      </c>
      <c r="D172" s="156">
        <v>0.12</v>
      </c>
      <c r="E172" s="156">
        <v>0.02</v>
      </c>
      <c r="F172" s="157"/>
      <c r="G172" s="157"/>
      <c r="H172" s="157"/>
      <c r="I172" s="157"/>
      <c r="J172" s="157"/>
      <c r="K172" s="54"/>
      <c r="L172" s="156" t="s">
        <v>733</v>
      </c>
      <c r="M172" s="156" t="s">
        <v>733</v>
      </c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  <c r="Z172" s="152"/>
    </row>
    <row r="173">
      <c r="A173" s="156">
        <v>7.290112344007E12</v>
      </c>
      <c r="B173" s="156" t="s">
        <v>4413</v>
      </c>
      <c r="C173" s="156">
        <v>0.09999999</v>
      </c>
      <c r="D173" s="156">
        <v>0.15</v>
      </c>
      <c r="E173" s="156">
        <v>0.05</v>
      </c>
      <c r="F173" s="157"/>
      <c r="G173" s="157"/>
      <c r="H173" s="157"/>
      <c r="I173" s="157"/>
      <c r="J173" s="157"/>
      <c r="K173" s="54"/>
      <c r="L173" s="160" t="s">
        <v>4413</v>
      </c>
      <c r="M173" s="156" t="s">
        <v>4413</v>
      </c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</row>
    <row r="174">
      <c r="A174" s="156">
        <v>7.290112344793E12</v>
      </c>
      <c r="B174" s="156" t="s">
        <v>4406</v>
      </c>
      <c r="C174" s="156">
        <v>0.09999999</v>
      </c>
      <c r="D174" s="156">
        <v>0.15</v>
      </c>
      <c r="E174" s="156">
        <v>0.05</v>
      </c>
      <c r="F174" s="157"/>
      <c r="G174" s="157"/>
      <c r="H174" s="157"/>
      <c r="I174" s="157"/>
      <c r="J174" s="157"/>
      <c r="K174" s="54"/>
      <c r="L174" s="160" t="s">
        <v>4406</v>
      </c>
      <c r="M174" s="156" t="s">
        <v>4406</v>
      </c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</row>
    <row r="175">
      <c r="A175" s="156">
        <v>7.290112336644E12</v>
      </c>
      <c r="B175" s="156" t="s">
        <v>2920</v>
      </c>
      <c r="C175" s="156">
        <v>0.12</v>
      </c>
      <c r="D175" s="156">
        <v>0.19</v>
      </c>
      <c r="E175" s="156">
        <v>0.015</v>
      </c>
      <c r="F175" s="157"/>
      <c r="G175" s="157"/>
      <c r="H175" s="157"/>
      <c r="I175" s="157"/>
      <c r="J175" s="157"/>
      <c r="K175" s="54"/>
      <c r="L175" s="160" t="s">
        <v>2920</v>
      </c>
      <c r="M175" s="156" t="s">
        <v>2920</v>
      </c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  <c r="Y175" s="152"/>
      <c r="Z175" s="152"/>
    </row>
    <row r="176">
      <c r="A176" s="156">
        <v>7.290112337474E12</v>
      </c>
      <c r="B176" s="156" t="s">
        <v>6718</v>
      </c>
      <c r="C176" s="156">
        <v>0.12</v>
      </c>
      <c r="D176" s="156">
        <v>0.19</v>
      </c>
      <c r="E176" s="156">
        <v>0.015</v>
      </c>
      <c r="F176" s="157"/>
      <c r="G176" s="157"/>
      <c r="H176" s="157"/>
      <c r="I176" s="157"/>
      <c r="J176" s="157"/>
      <c r="K176" s="54"/>
      <c r="L176" s="160" t="s">
        <v>6718</v>
      </c>
      <c r="M176" s="156" t="s">
        <v>6718</v>
      </c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</row>
    <row r="177">
      <c r="A177" s="156">
        <v>7.290112336637E12</v>
      </c>
      <c r="B177" s="156" t="s">
        <v>2914</v>
      </c>
      <c r="C177" s="156">
        <v>0.12</v>
      </c>
      <c r="D177" s="156">
        <v>0.19</v>
      </c>
      <c r="E177" s="156">
        <v>0.015</v>
      </c>
      <c r="F177" s="157"/>
      <c r="G177" s="157"/>
      <c r="H177" s="157"/>
      <c r="I177" s="157"/>
      <c r="J177" s="157"/>
      <c r="K177" s="54"/>
      <c r="L177" s="160" t="s">
        <v>2914</v>
      </c>
      <c r="M177" s="156" t="s">
        <v>2914</v>
      </c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</row>
    <row r="178">
      <c r="A178" s="156">
        <v>7.290112337481E12</v>
      </c>
      <c r="B178" s="156" t="s">
        <v>2908</v>
      </c>
      <c r="C178" s="156">
        <v>0.12</v>
      </c>
      <c r="D178" s="156">
        <v>0.19</v>
      </c>
      <c r="E178" s="156">
        <v>0.015</v>
      </c>
      <c r="F178" s="157"/>
      <c r="G178" s="157"/>
      <c r="H178" s="157"/>
      <c r="I178" s="157"/>
      <c r="J178" s="157"/>
      <c r="K178" s="54"/>
      <c r="L178" s="160" t="s">
        <v>2908</v>
      </c>
      <c r="M178" s="156" t="s">
        <v>2908</v>
      </c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52"/>
      <c r="Y178" s="152"/>
      <c r="Z178" s="152"/>
    </row>
    <row r="179">
      <c r="A179" s="156">
        <v>7.290112336651E12</v>
      </c>
      <c r="B179" s="156" t="s">
        <v>2902</v>
      </c>
      <c r="C179" s="156">
        <v>0.12</v>
      </c>
      <c r="D179" s="156">
        <v>0.19</v>
      </c>
      <c r="E179" s="156">
        <v>0.015</v>
      </c>
      <c r="F179" s="157"/>
      <c r="G179" s="157"/>
      <c r="H179" s="157"/>
      <c r="I179" s="157"/>
      <c r="J179" s="157"/>
      <c r="K179" s="54"/>
      <c r="L179" s="160" t="s">
        <v>2902</v>
      </c>
      <c r="M179" s="156" t="s">
        <v>2902</v>
      </c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52"/>
      <c r="Y179" s="152"/>
      <c r="Z179" s="152"/>
    </row>
    <row r="180">
      <c r="A180" s="156">
        <v>7.290112349262E12</v>
      </c>
      <c r="B180" s="156" t="s">
        <v>3127</v>
      </c>
      <c r="C180" s="156">
        <v>0.07</v>
      </c>
      <c r="D180" s="156">
        <v>0.105</v>
      </c>
      <c r="E180" s="156">
        <v>0.05</v>
      </c>
      <c r="F180" s="157"/>
      <c r="G180" s="157"/>
      <c r="H180" s="157"/>
      <c r="I180" s="157"/>
      <c r="J180" s="157"/>
      <c r="K180" s="54"/>
      <c r="L180" s="160" t="s">
        <v>3127</v>
      </c>
      <c r="M180" s="156" t="s">
        <v>3127</v>
      </c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</row>
    <row r="181">
      <c r="A181" s="156">
        <v>7.290112347626E12</v>
      </c>
      <c r="B181" s="156" t="s">
        <v>2072</v>
      </c>
      <c r="C181" s="156">
        <v>0.07</v>
      </c>
      <c r="D181" s="156">
        <v>0.105</v>
      </c>
      <c r="E181" s="156">
        <v>0.05</v>
      </c>
      <c r="F181" s="157"/>
      <c r="G181" s="157"/>
      <c r="H181" s="157"/>
      <c r="I181" s="157"/>
      <c r="J181" s="157"/>
      <c r="K181" s="54"/>
      <c r="L181" s="160" t="s">
        <v>2072</v>
      </c>
      <c r="M181" s="156" t="s">
        <v>2072</v>
      </c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52"/>
      <c r="Y181" s="152"/>
      <c r="Z181" s="152"/>
    </row>
    <row r="182">
      <c r="A182" s="156">
        <v>7.290112349255E12</v>
      </c>
      <c r="B182" s="156" t="s">
        <v>3133</v>
      </c>
      <c r="C182" s="156">
        <v>0.07</v>
      </c>
      <c r="D182" s="156">
        <v>0.105</v>
      </c>
      <c r="E182" s="156">
        <v>0.05</v>
      </c>
      <c r="F182" s="157"/>
      <c r="G182" s="157"/>
      <c r="H182" s="157"/>
      <c r="I182" s="157"/>
      <c r="J182" s="157"/>
      <c r="K182" s="54"/>
      <c r="L182" s="160" t="s">
        <v>3133</v>
      </c>
      <c r="M182" s="156" t="s">
        <v>3133</v>
      </c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</row>
    <row r="183">
      <c r="A183" s="156">
        <v>7.290112348548E12</v>
      </c>
      <c r="B183" s="156" t="s">
        <v>683</v>
      </c>
      <c r="C183" s="156">
        <v>0.16</v>
      </c>
      <c r="D183" s="156">
        <v>0.079</v>
      </c>
      <c r="E183" s="156">
        <v>0.02</v>
      </c>
      <c r="F183" s="157"/>
      <c r="G183" s="157"/>
      <c r="H183" s="157"/>
      <c r="I183" s="157"/>
      <c r="J183" s="157"/>
      <c r="K183" s="54"/>
      <c r="L183" s="160" t="s">
        <v>683</v>
      </c>
      <c r="M183" s="156" t="s">
        <v>683</v>
      </c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</row>
    <row r="184">
      <c r="A184" s="156">
        <v>7.290112358011E12</v>
      </c>
      <c r="B184" s="156" t="s">
        <v>3010</v>
      </c>
      <c r="C184" s="156">
        <v>0.18</v>
      </c>
      <c r="D184" s="156">
        <v>0.205</v>
      </c>
      <c r="E184" s="156">
        <v>0.01</v>
      </c>
      <c r="F184" s="157"/>
      <c r="G184" s="157"/>
      <c r="H184" s="157"/>
      <c r="I184" s="157"/>
      <c r="J184" s="157"/>
      <c r="K184" s="54"/>
      <c r="L184" s="160" t="s">
        <v>3010</v>
      </c>
      <c r="M184" s="156" t="s">
        <v>3010</v>
      </c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</row>
    <row r="185">
      <c r="A185" s="156">
        <v>7.61650055346E12</v>
      </c>
      <c r="B185" s="156" t="s">
        <v>1495</v>
      </c>
      <c r="C185" s="156">
        <v>0.097</v>
      </c>
      <c r="D185" s="156">
        <v>0.18</v>
      </c>
      <c r="E185" s="156">
        <v>0.008</v>
      </c>
      <c r="F185" s="157"/>
      <c r="G185" s="157"/>
      <c r="H185" s="157"/>
      <c r="I185" s="157"/>
      <c r="J185" s="157"/>
      <c r="K185" s="54"/>
      <c r="L185" s="160" t="s">
        <v>1495</v>
      </c>
      <c r="M185" s="156" t="s">
        <v>1495</v>
      </c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</row>
    <row r="186">
      <c r="A186" s="156">
        <v>7.616500553484E12</v>
      </c>
      <c r="B186" s="156" t="s">
        <v>1481</v>
      </c>
      <c r="C186" s="156">
        <v>0.097</v>
      </c>
      <c r="D186" s="156">
        <v>0.18</v>
      </c>
      <c r="E186" s="156">
        <v>0.008</v>
      </c>
      <c r="F186" s="157"/>
      <c r="G186" s="157"/>
      <c r="H186" s="157"/>
      <c r="I186" s="157"/>
      <c r="J186" s="157"/>
      <c r="K186" s="54"/>
      <c r="L186" s="160" t="s">
        <v>1481</v>
      </c>
      <c r="M186" s="156" t="s">
        <v>1481</v>
      </c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</row>
    <row r="187">
      <c r="A187" s="156">
        <v>7.616500646087E12</v>
      </c>
      <c r="B187" s="156" t="s">
        <v>1474</v>
      </c>
      <c r="C187" s="156">
        <v>0.097</v>
      </c>
      <c r="D187" s="156">
        <v>0.18</v>
      </c>
      <c r="E187" s="156">
        <v>0.008</v>
      </c>
      <c r="F187" s="157"/>
      <c r="G187" s="157"/>
      <c r="H187" s="157"/>
      <c r="I187" s="157"/>
      <c r="J187" s="157"/>
      <c r="K187" s="54"/>
      <c r="L187" s="160" t="s">
        <v>1474</v>
      </c>
      <c r="M187" s="156" t="s">
        <v>1474</v>
      </c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</row>
    <row r="188">
      <c r="A188" s="156">
        <v>7.616500647251E12</v>
      </c>
      <c r="B188" s="156" t="s">
        <v>1489</v>
      </c>
      <c r="C188" s="156">
        <v>0.093</v>
      </c>
      <c r="D188" s="156">
        <v>0.175</v>
      </c>
      <c r="E188" s="156">
        <v>0.015</v>
      </c>
      <c r="F188" s="157"/>
      <c r="G188" s="157"/>
      <c r="H188" s="157"/>
      <c r="I188" s="157"/>
      <c r="J188" s="157"/>
      <c r="K188" s="54"/>
      <c r="L188" s="160" t="s">
        <v>1489</v>
      </c>
      <c r="M188" s="156" t="s">
        <v>1489</v>
      </c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52"/>
      <c r="Y188" s="152"/>
      <c r="Z188" s="152"/>
    </row>
    <row r="189">
      <c r="A189" s="156">
        <v>7.290005200908E12</v>
      </c>
      <c r="B189" s="157" t="s">
        <v>6719</v>
      </c>
      <c r="C189" s="156">
        <v>0.135</v>
      </c>
      <c r="D189" s="156">
        <v>0.135</v>
      </c>
      <c r="E189" s="156">
        <v>0.015</v>
      </c>
      <c r="F189" s="157"/>
      <c r="G189" s="157"/>
      <c r="H189" s="157"/>
      <c r="I189" s="157"/>
      <c r="J189" s="157"/>
      <c r="K189" s="54"/>
      <c r="L189" s="157" t="s">
        <v>6719</v>
      </c>
      <c r="M189" s="159" t="s">
        <v>6719</v>
      </c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2"/>
      <c r="Y189" s="152"/>
      <c r="Z189" s="152"/>
    </row>
    <row r="190">
      <c r="A190" s="156">
        <v>7.290105961525E12</v>
      </c>
      <c r="B190" s="156" t="s">
        <v>4400</v>
      </c>
      <c r="C190" s="156">
        <v>0.09</v>
      </c>
      <c r="D190" s="156">
        <v>0.18</v>
      </c>
      <c r="E190" s="156">
        <v>0.01</v>
      </c>
      <c r="F190" s="157"/>
      <c r="G190" s="157"/>
      <c r="H190" s="157"/>
      <c r="I190" s="157"/>
      <c r="J190" s="157"/>
      <c r="K190" s="54"/>
      <c r="L190" s="160" t="s">
        <v>4400</v>
      </c>
      <c r="M190" s="156" t="s">
        <v>4400</v>
      </c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Y190" s="152"/>
      <c r="Z190" s="152"/>
    </row>
    <row r="191">
      <c r="A191" s="156">
        <v>7.290112351098E12</v>
      </c>
      <c r="B191" s="156" t="s">
        <v>6720</v>
      </c>
      <c r="C191" s="156">
        <v>0.16</v>
      </c>
      <c r="D191" s="156">
        <v>0.08</v>
      </c>
      <c r="E191" s="156">
        <v>0.01</v>
      </c>
      <c r="F191" s="157"/>
      <c r="G191" s="157"/>
      <c r="H191" s="157"/>
      <c r="I191" s="157"/>
      <c r="J191" s="157"/>
      <c r="K191" s="54"/>
      <c r="L191" s="160" t="s">
        <v>6720</v>
      </c>
      <c r="M191" s="156" t="s">
        <v>6720</v>
      </c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</row>
    <row r="192">
      <c r="A192" s="156">
        <v>4.0084107E7</v>
      </c>
      <c r="B192" s="156" t="s">
        <v>2137</v>
      </c>
      <c r="C192" s="156">
        <v>0.045</v>
      </c>
      <c r="D192" s="156">
        <v>0.065</v>
      </c>
      <c r="E192" s="156">
        <v>0.045</v>
      </c>
      <c r="F192" s="157"/>
      <c r="G192" s="157"/>
      <c r="H192" s="157"/>
      <c r="I192" s="157"/>
      <c r="J192" s="157"/>
      <c r="K192" s="54"/>
      <c r="L192" s="160" t="s">
        <v>2137</v>
      </c>
      <c r="M192" s="156" t="s">
        <v>2137</v>
      </c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</row>
    <row r="193">
      <c r="A193" s="156">
        <v>8.0768258E7</v>
      </c>
      <c r="B193" s="156" t="s">
        <v>2131</v>
      </c>
      <c r="C193" s="156">
        <v>0.05</v>
      </c>
      <c r="D193" s="156">
        <v>0.07</v>
      </c>
      <c r="E193" s="156">
        <v>0.055</v>
      </c>
      <c r="F193" s="157"/>
      <c r="G193" s="157"/>
      <c r="H193" s="157"/>
      <c r="I193" s="157"/>
      <c r="J193" s="157"/>
      <c r="K193" s="54"/>
      <c r="L193" s="156" t="s">
        <v>2131</v>
      </c>
      <c r="M193" s="156" t="s">
        <v>2131</v>
      </c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</row>
    <row r="194">
      <c r="A194" s="156">
        <v>7.290002022152E12</v>
      </c>
      <c r="B194" s="156" t="s">
        <v>589</v>
      </c>
      <c r="C194" s="156">
        <v>0.14</v>
      </c>
      <c r="D194" s="156">
        <v>0.24</v>
      </c>
      <c r="E194" s="156">
        <v>0.04</v>
      </c>
      <c r="F194" s="157"/>
      <c r="G194" s="157"/>
      <c r="H194" s="157"/>
      <c r="I194" s="157"/>
      <c r="J194" s="157"/>
      <c r="K194" s="54"/>
      <c r="L194" s="160" t="s">
        <v>589</v>
      </c>
      <c r="M194" s="156" t="s">
        <v>589</v>
      </c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</row>
    <row r="195">
      <c r="A195" s="156">
        <v>7.29011235121E12</v>
      </c>
      <c r="B195" s="156" t="s">
        <v>659</v>
      </c>
      <c r="C195" s="156">
        <v>0.16</v>
      </c>
      <c r="D195" s="156">
        <v>0.079</v>
      </c>
      <c r="E195" s="156">
        <v>0.01</v>
      </c>
      <c r="F195" s="157"/>
      <c r="G195" s="157"/>
      <c r="H195" s="157"/>
      <c r="I195" s="157"/>
      <c r="J195" s="157"/>
      <c r="K195" s="54"/>
      <c r="L195" s="160" t="s">
        <v>659</v>
      </c>
      <c r="M195" s="156" t="s">
        <v>659</v>
      </c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</row>
    <row r="196">
      <c r="A196" s="156">
        <v>7.290112351197E12</v>
      </c>
      <c r="B196" s="156" t="s">
        <v>631</v>
      </c>
      <c r="C196" s="156">
        <v>0.16</v>
      </c>
      <c r="D196" s="156">
        <v>0.079</v>
      </c>
      <c r="E196" s="156">
        <v>0.01</v>
      </c>
      <c r="F196" s="157"/>
      <c r="G196" s="157"/>
      <c r="H196" s="157"/>
      <c r="I196" s="157"/>
      <c r="J196" s="157"/>
      <c r="K196" s="54"/>
      <c r="L196" s="160" t="s">
        <v>631</v>
      </c>
      <c r="M196" s="156" t="s">
        <v>631</v>
      </c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</row>
    <row r="197">
      <c r="A197" s="156">
        <v>5.000159473866E12</v>
      </c>
      <c r="B197" s="156" t="s">
        <v>4331</v>
      </c>
      <c r="C197" s="156">
        <v>0.2</v>
      </c>
      <c r="D197" s="156">
        <v>0.18</v>
      </c>
      <c r="E197" s="156">
        <v>0.02</v>
      </c>
      <c r="F197" s="157"/>
      <c r="G197" s="157"/>
      <c r="H197" s="157"/>
      <c r="I197" s="157"/>
      <c r="J197" s="157"/>
      <c r="K197" s="54"/>
      <c r="L197" s="160" t="s">
        <v>4331</v>
      </c>
      <c r="M197" s="156" t="s">
        <v>4331</v>
      </c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</row>
    <row r="198">
      <c r="A198" s="156">
        <v>7.0970471254E10</v>
      </c>
      <c r="B198" s="156" t="s">
        <v>2682</v>
      </c>
      <c r="C198" s="156">
        <v>0.155</v>
      </c>
      <c r="D198" s="156">
        <v>0.085</v>
      </c>
      <c r="E198" s="156">
        <v>0.02</v>
      </c>
      <c r="F198" s="157"/>
      <c r="G198" s="157"/>
      <c r="H198" s="157"/>
      <c r="I198" s="157"/>
      <c r="J198" s="157"/>
      <c r="K198" s="54"/>
      <c r="L198" s="160" t="s">
        <v>2682</v>
      </c>
      <c r="M198" s="156" t="s">
        <v>2682</v>
      </c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</row>
    <row r="199">
      <c r="A199" s="156">
        <v>7.0970473562E10</v>
      </c>
      <c r="B199" s="156" t="s">
        <v>2691</v>
      </c>
      <c r="C199" s="156">
        <v>0.155</v>
      </c>
      <c r="D199" s="156">
        <v>0.085</v>
      </c>
      <c r="E199" s="156">
        <v>0.02</v>
      </c>
      <c r="F199" s="157"/>
      <c r="G199" s="157"/>
      <c r="H199" s="157"/>
      <c r="I199" s="157"/>
      <c r="J199" s="157"/>
      <c r="K199" s="54"/>
      <c r="L199" s="160" t="s">
        <v>2691</v>
      </c>
      <c r="M199" s="156" t="s">
        <v>2691</v>
      </c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</row>
    <row r="200">
      <c r="A200" s="156">
        <v>8.690526009339E12</v>
      </c>
      <c r="B200" s="156" t="s">
        <v>4843</v>
      </c>
      <c r="C200" s="156">
        <v>0.085</v>
      </c>
      <c r="D200" s="156">
        <v>0.087</v>
      </c>
      <c r="E200" s="156">
        <v>0.01</v>
      </c>
      <c r="F200" s="157"/>
      <c r="G200" s="157"/>
      <c r="H200" s="157"/>
      <c r="I200" s="157"/>
      <c r="J200" s="157"/>
      <c r="K200" s="54"/>
      <c r="L200" s="160" t="s">
        <v>4843</v>
      </c>
      <c r="M200" s="156" t="s">
        <v>4843</v>
      </c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</row>
    <row r="201">
      <c r="A201" s="156">
        <v>8.690526009315E12</v>
      </c>
      <c r="B201" s="156" t="s">
        <v>4836</v>
      </c>
      <c r="C201" s="156">
        <v>0.085</v>
      </c>
      <c r="D201" s="156">
        <v>0.087</v>
      </c>
      <c r="E201" s="156">
        <v>0.01</v>
      </c>
      <c r="F201" s="157"/>
      <c r="G201" s="157"/>
      <c r="H201" s="157"/>
      <c r="I201" s="157"/>
      <c r="J201" s="157"/>
      <c r="K201" s="54"/>
      <c r="L201" s="160" t="s">
        <v>4836</v>
      </c>
      <c r="M201" s="156" t="s">
        <v>4836</v>
      </c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</row>
    <row r="202">
      <c r="A202" s="156">
        <v>6.928542902795E12</v>
      </c>
      <c r="B202" s="156" t="s">
        <v>1447</v>
      </c>
      <c r="C202" s="156">
        <v>0.08</v>
      </c>
      <c r="D202" s="156">
        <v>0.08</v>
      </c>
      <c r="E202" s="156">
        <v>0.01</v>
      </c>
      <c r="F202" s="157"/>
      <c r="G202" s="157"/>
      <c r="H202" s="157"/>
      <c r="I202" s="157"/>
      <c r="J202" s="157"/>
      <c r="K202" s="54"/>
      <c r="L202" s="160" t="s">
        <v>1447</v>
      </c>
      <c r="M202" s="156" t="s">
        <v>1447</v>
      </c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</row>
    <row r="203">
      <c r="A203" s="156">
        <v>6.928542902801E12</v>
      </c>
      <c r="B203" s="156" t="s">
        <v>1460</v>
      </c>
      <c r="C203" s="156">
        <v>0.08</v>
      </c>
      <c r="D203" s="156">
        <v>0.08</v>
      </c>
      <c r="E203" s="156">
        <v>0.01</v>
      </c>
      <c r="F203" s="157"/>
      <c r="G203" s="157"/>
      <c r="H203" s="157"/>
      <c r="I203" s="157"/>
      <c r="J203" s="157"/>
      <c r="K203" s="54"/>
      <c r="L203" s="160" t="s">
        <v>1460</v>
      </c>
      <c r="M203" s="156" t="s">
        <v>1460</v>
      </c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</row>
    <row r="204">
      <c r="A204" s="156">
        <v>6.928542902818E12</v>
      </c>
      <c r="B204" s="156" t="s">
        <v>1454</v>
      </c>
      <c r="C204" s="156">
        <v>0.08</v>
      </c>
      <c r="D204" s="156">
        <v>0.08</v>
      </c>
      <c r="E204" s="156">
        <v>0.01</v>
      </c>
      <c r="F204" s="157"/>
      <c r="G204" s="157"/>
      <c r="H204" s="157"/>
      <c r="I204" s="157"/>
      <c r="J204" s="157"/>
      <c r="K204" s="54"/>
      <c r="L204" s="160" t="s">
        <v>1454</v>
      </c>
      <c r="M204" s="156" t="s">
        <v>1454</v>
      </c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</row>
    <row r="205">
      <c r="A205" s="156">
        <v>7.622210826053E12</v>
      </c>
      <c r="B205" s="156" t="s">
        <v>2723</v>
      </c>
      <c r="C205" s="156">
        <v>0.157</v>
      </c>
      <c r="D205" s="156">
        <v>0.077</v>
      </c>
      <c r="E205" s="156">
        <v>0.014</v>
      </c>
      <c r="F205" s="157"/>
      <c r="G205" s="157"/>
      <c r="H205" s="157"/>
      <c r="I205" s="157"/>
      <c r="J205" s="157"/>
      <c r="K205" s="54"/>
      <c r="L205" s="160" t="s">
        <v>2723</v>
      </c>
      <c r="M205" s="156" t="s">
        <v>2723</v>
      </c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</row>
    <row r="206">
      <c r="A206" s="156">
        <v>7.622201127398E12</v>
      </c>
      <c r="B206" s="156" t="s">
        <v>3190</v>
      </c>
      <c r="C206" s="156">
        <v>0.17</v>
      </c>
      <c r="D206" s="156">
        <v>0.2</v>
      </c>
      <c r="E206" s="156">
        <v>0.037</v>
      </c>
      <c r="F206" s="157"/>
      <c r="G206" s="157"/>
      <c r="H206" s="157"/>
      <c r="I206" s="157"/>
      <c r="J206" s="157"/>
      <c r="K206" s="54"/>
      <c r="L206" s="160" t="s">
        <v>3190</v>
      </c>
      <c r="M206" s="156" t="s">
        <v>3190</v>
      </c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</row>
    <row r="207">
      <c r="A207" s="156">
        <v>7.622201127367E12</v>
      </c>
      <c r="B207" s="156" t="s">
        <v>3196</v>
      </c>
      <c r="C207" s="156">
        <v>0.17</v>
      </c>
      <c r="D207" s="156">
        <v>0.2</v>
      </c>
      <c r="E207" s="156">
        <v>0.037</v>
      </c>
      <c r="F207" s="157"/>
      <c r="G207" s="157"/>
      <c r="H207" s="157"/>
      <c r="I207" s="157"/>
      <c r="J207" s="157"/>
      <c r="K207" s="54"/>
      <c r="L207" s="160" t="s">
        <v>3196</v>
      </c>
      <c r="M207" s="156" t="s">
        <v>3196</v>
      </c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</row>
    <row r="208">
      <c r="A208" s="156">
        <v>7.29000014838E12</v>
      </c>
      <c r="B208" s="157" t="s">
        <v>6721</v>
      </c>
      <c r="C208" s="156">
        <v>0.14</v>
      </c>
      <c r="D208" s="156">
        <v>0.19</v>
      </c>
      <c r="E208" s="156">
        <v>0.02</v>
      </c>
      <c r="F208" s="157"/>
      <c r="G208" s="157"/>
      <c r="H208" s="157"/>
      <c r="I208" s="157"/>
      <c r="J208" s="157"/>
      <c r="K208" s="54"/>
      <c r="L208" s="157" t="s">
        <v>6721</v>
      </c>
      <c r="M208" s="157" t="s">
        <v>6721</v>
      </c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</row>
    <row r="209">
      <c r="A209" s="156">
        <v>7.290000148748E12</v>
      </c>
      <c r="B209" s="157" t="s">
        <v>6722</v>
      </c>
      <c r="C209" s="156">
        <v>0.11</v>
      </c>
      <c r="D209" s="156">
        <v>0.19</v>
      </c>
      <c r="E209" s="156">
        <v>0.02</v>
      </c>
      <c r="F209" s="157"/>
      <c r="G209" s="157"/>
      <c r="H209" s="157"/>
      <c r="I209" s="157"/>
      <c r="J209" s="157"/>
      <c r="K209" s="54"/>
      <c r="L209" s="157" t="s">
        <v>6722</v>
      </c>
      <c r="M209" s="159" t="s">
        <v>6722</v>
      </c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</row>
    <row r="210">
      <c r="A210" s="156">
        <v>7.290000148489E12</v>
      </c>
      <c r="B210" s="157" t="s">
        <v>6723</v>
      </c>
      <c r="C210" s="156">
        <v>0.145</v>
      </c>
      <c r="D210" s="156">
        <v>0.19</v>
      </c>
      <c r="E210" s="156">
        <v>0.02</v>
      </c>
      <c r="F210" s="157"/>
      <c r="G210" s="157"/>
      <c r="H210" s="157"/>
      <c r="I210" s="157"/>
      <c r="J210" s="157"/>
      <c r="K210" s="54"/>
      <c r="L210" s="157" t="s">
        <v>6723</v>
      </c>
      <c r="M210" s="159" t="s">
        <v>6723</v>
      </c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</row>
    <row r="211">
      <c r="A211" s="156">
        <v>7.290003009336E12</v>
      </c>
      <c r="B211" s="157" t="s">
        <v>6724</v>
      </c>
      <c r="C211" s="156">
        <v>0.12</v>
      </c>
      <c r="D211" s="156">
        <v>0.19</v>
      </c>
      <c r="E211" s="156">
        <v>0.02</v>
      </c>
      <c r="F211" s="157"/>
      <c r="G211" s="157"/>
      <c r="H211" s="157"/>
      <c r="I211" s="157"/>
      <c r="J211" s="157"/>
      <c r="K211" s="54"/>
      <c r="L211" s="157" t="s">
        <v>6724</v>
      </c>
      <c r="M211" s="159" t="s">
        <v>6724</v>
      </c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</row>
    <row r="212">
      <c r="A212" s="156">
        <v>7.290003009329E12</v>
      </c>
      <c r="B212" s="157" t="s">
        <v>6725</v>
      </c>
      <c r="C212" s="156">
        <v>0.12</v>
      </c>
      <c r="D212" s="156">
        <v>0.19</v>
      </c>
      <c r="E212" s="156">
        <v>0.02</v>
      </c>
      <c r="F212" s="157"/>
      <c r="G212" s="157"/>
      <c r="H212" s="157"/>
      <c r="I212" s="157"/>
      <c r="J212" s="157"/>
      <c r="K212" s="54"/>
      <c r="L212" s="157" t="s">
        <v>6725</v>
      </c>
      <c r="M212" s="159" t="s">
        <v>6725</v>
      </c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</row>
    <row r="213">
      <c r="A213" s="156">
        <v>7.290000148939E12</v>
      </c>
      <c r="B213" s="157" t="s">
        <v>6726</v>
      </c>
      <c r="C213" s="156">
        <v>0.11</v>
      </c>
      <c r="D213" s="156">
        <v>0.19</v>
      </c>
      <c r="E213" s="156">
        <v>0.02</v>
      </c>
      <c r="F213" s="157"/>
      <c r="G213" s="157"/>
      <c r="H213" s="157"/>
      <c r="I213" s="157"/>
      <c r="J213" s="157"/>
      <c r="K213" s="54"/>
      <c r="L213" s="157" t="s">
        <v>6726</v>
      </c>
      <c r="M213" s="159" t="s">
        <v>6726</v>
      </c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</row>
    <row r="214">
      <c r="A214" s="156">
        <v>7.290003009312E12</v>
      </c>
      <c r="B214" s="157" t="s">
        <v>6727</v>
      </c>
      <c r="C214" s="156">
        <v>0.11</v>
      </c>
      <c r="D214" s="156">
        <v>0.19</v>
      </c>
      <c r="E214" s="156">
        <v>0.02</v>
      </c>
      <c r="F214" s="157"/>
      <c r="G214" s="157"/>
      <c r="H214" s="157"/>
      <c r="I214" s="157"/>
      <c r="J214" s="157"/>
      <c r="K214" s="54"/>
      <c r="L214" s="157" t="s">
        <v>6727</v>
      </c>
      <c r="M214" s="159" t="s">
        <v>6727</v>
      </c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</row>
    <row r="215">
      <c r="A215" s="156">
        <v>7.290000377452E12</v>
      </c>
      <c r="B215" s="157" t="s">
        <v>6728</v>
      </c>
      <c r="C215" s="156">
        <v>0.11</v>
      </c>
      <c r="D215" s="156">
        <v>0.19</v>
      </c>
      <c r="E215" s="156">
        <v>0.02</v>
      </c>
      <c r="F215" s="157"/>
      <c r="G215" s="157"/>
      <c r="H215" s="157"/>
      <c r="I215" s="157"/>
      <c r="J215" s="157"/>
      <c r="K215" s="54"/>
      <c r="L215" s="157" t="s">
        <v>6728</v>
      </c>
      <c r="M215" s="159" t="s">
        <v>6728</v>
      </c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</row>
    <row r="216">
      <c r="A216" s="156">
        <v>7.290000148618E12</v>
      </c>
      <c r="B216" s="157" t="s">
        <v>6729</v>
      </c>
      <c r="C216" s="156">
        <v>0.135</v>
      </c>
      <c r="D216" s="156">
        <v>0.19</v>
      </c>
      <c r="E216" s="156">
        <v>0.02</v>
      </c>
      <c r="F216" s="157"/>
      <c r="G216" s="157"/>
      <c r="H216" s="157"/>
      <c r="I216" s="157"/>
      <c r="J216" s="157"/>
      <c r="K216" s="54"/>
      <c r="L216" s="157" t="s">
        <v>6729</v>
      </c>
      <c r="M216" s="159" t="s">
        <v>6729</v>
      </c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</row>
    <row r="217">
      <c r="A217" s="156">
        <v>7.290000377445E12</v>
      </c>
      <c r="B217" s="157" t="s">
        <v>6730</v>
      </c>
      <c r="C217" s="156">
        <v>0.11</v>
      </c>
      <c r="D217" s="156">
        <v>0.19</v>
      </c>
      <c r="E217" s="156">
        <v>0.02</v>
      </c>
      <c r="F217" s="157"/>
      <c r="G217" s="157"/>
      <c r="H217" s="157"/>
      <c r="I217" s="157"/>
      <c r="J217" s="157"/>
      <c r="K217" s="54"/>
      <c r="L217" s="157" t="s">
        <v>6730</v>
      </c>
      <c r="M217" s="159" t="s">
        <v>6730</v>
      </c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</row>
    <row r="218">
      <c r="A218" s="156">
        <v>7.290003896141E12</v>
      </c>
      <c r="B218" s="157" t="s">
        <v>6731</v>
      </c>
      <c r="C218" s="156">
        <v>0.11</v>
      </c>
      <c r="D218" s="156">
        <v>0.19</v>
      </c>
      <c r="E218" s="156">
        <v>0.02</v>
      </c>
      <c r="F218" s="157"/>
      <c r="G218" s="157"/>
      <c r="H218" s="157"/>
      <c r="I218" s="157"/>
      <c r="J218" s="157"/>
      <c r="K218" s="54"/>
      <c r="L218" s="157" t="s">
        <v>6731</v>
      </c>
      <c r="M218" s="159" t="s">
        <v>6731</v>
      </c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</row>
    <row r="219">
      <c r="A219" s="156">
        <v>7.29000314556E12</v>
      </c>
      <c r="B219" s="157" t="s">
        <v>6732</v>
      </c>
      <c r="C219" s="156">
        <v>0.08</v>
      </c>
      <c r="D219" s="156">
        <v>0.19</v>
      </c>
      <c r="E219" s="156">
        <v>0.02</v>
      </c>
      <c r="F219" s="157"/>
      <c r="G219" s="157"/>
      <c r="H219" s="157"/>
      <c r="I219" s="157"/>
      <c r="J219" s="157"/>
      <c r="K219" s="54"/>
      <c r="L219" s="157" t="s">
        <v>6732</v>
      </c>
      <c r="M219" s="159" t="s">
        <v>6732</v>
      </c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</row>
    <row r="220">
      <c r="A220" s="156">
        <v>7.290003145577E12</v>
      </c>
      <c r="B220" s="157" t="s">
        <v>6733</v>
      </c>
      <c r="C220" s="156">
        <v>0.08</v>
      </c>
      <c r="D220" s="156">
        <v>0.19</v>
      </c>
      <c r="E220" s="156">
        <v>0.02</v>
      </c>
      <c r="F220" s="157"/>
      <c r="G220" s="157"/>
      <c r="H220" s="157"/>
      <c r="I220" s="157"/>
      <c r="J220" s="157"/>
      <c r="K220" s="54"/>
      <c r="L220" s="157" t="s">
        <v>6733</v>
      </c>
      <c r="M220" s="159" t="s">
        <v>6733</v>
      </c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</row>
    <row r="221">
      <c r="A221" s="156">
        <v>7.290003145584E12</v>
      </c>
      <c r="B221" s="157" t="s">
        <v>6734</v>
      </c>
      <c r="C221" s="156">
        <v>0.08</v>
      </c>
      <c r="D221" s="156">
        <v>0.19</v>
      </c>
      <c r="E221" s="156">
        <v>0.02</v>
      </c>
      <c r="F221" s="157"/>
      <c r="G221" s="157"/>
      <c r="H221" s="157"/>
      <c r="I221" s="157"/>
      <c r="J221" s="157"/>
      <c r="K221" s="54"/>
      <c r="L221" s="157" t="s">
        <v>6734</v>
      </c>
      <c r="M221" s="159" t="s">
        <v>6734</v>
      </c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</row>
    <row r="222">
      <c r="A222" s="156">
        <v>7.290004532574E12</v>
      </c>
      <c r="B222" s="157" t="s">
        <v>6735</v>
      </c>
      <c r="C222" s="156">
        <v>0.12</v>
      </c>
      <c r="D222" s="156">
        <v>0.18</v>
      </c>
      <c r="E222" s="156">
        <v>0.03</v>
      </c>
      <c r="F222" s="157"/>
      <c r="G222" s="157"/>
      <c r="H222" s="157"/>
      <c r="I222" s="157"/>
      <c r="J222" s="157"/>
      <c r="K222" s="54"/>
      <c r="L222" s="157" t="s">
        <v>6735</v>
      </c>
      <c r="M222" s="159" t="s">
        <v>6735</v>
      </c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</row>
    <row r="223">
      <c r="A223" s="156">
        <v>7.290008166775E12</v>
      </c>
      <c r="B223" s="157" t="s">
        <v>6736</v>
      </c>
      <c r="C223" s="156">
        <v>0.12</v>
      </c>
      <c r="D223" s="156">
        <v>0.18</v>
      </c>
      <c r="E223" s="156">
        <v>0.03</v>
      </c>
      <c r="F223" s="157"/>
      <c r="G223" s="157"/>
      <c r="H223" s="157"/>
      <c r="I223" s="157"/>
      <c r="J223" s="157"/>
      <c r="K223" s="54"/>
      <c r="L223" s="157" t="s">
        <v>6736</v>
      </c>
      <c r="M223" s="159" t="s">
        <v>6736</v>
      </c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</row>
    <row r="224">
      <c r="A224" s="156">
        <v>7.290004532086E12</v>
      </c>
      <c r="B224" s="157" t="s">
        <v>6737</v>
      </c>
      <c r="C224" s="156">
        <v>0.12</v>
      </c>
      <c r="D224" s="156">
        <v>0.18</v>
      </c>
      <c r="E224" s="156">
        <v>0.03</v>
      </c>
      <c r="F224" s="157"/>
      <c r="G224" s="157"/>
      <c r="H224" s="157"/>
      <c r="I224" s="157"/>
      <c r="J224" s="157"/>
      <c r="K224" s="54"/>
      <c r="L224" s="157" t="s">
        <v>6737</v>
      </c>
      <c r="M224" s="159" t="s">
        <v>6737</v>
      </c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</row>
    <row r="225">
      <c r="A225" s="156">
        <v>7.290004532581E12</v>
      </c>
      <c r="B225" s="157" t="s">
        <v>6737</v>
      </c>
      <c r="C225" s="156">
        <v>0.12</v>
      </c>
      <c r="D225" s="156">
        <v>0.18</v>
      </c>
      <c r="E225" s="156">
        <v>0.03</v>
      </c>
      <c r="F225" s="157"/>
      <c r="G225" s="157"/>
      <c r="H225" s="157"/>
      <c r="I225" s="157"/>
      <c r="J225" s="157"/>
      <c r="K225" s="54"/>
      <c r="L225" s="157" t="s">
        <v>6737</v>
      </c>
      <c r="M225" s="159" t="s">
        <v>6737</v>
      </c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</row>
    <row r="226">
      <c r="A226" s="156">
        <v>7.290004532369E12</v>
      </c>
      <c r="B226" s="157" t="s">
        <v>6738</v>
      </c>
      <c r="C226" s="156">
        <v>0.12</v>
      </c>
      <c r="D226" s="156">
        <v>0.18</v>
      </c>
      <c r="E226" s="156">
        <v>0.03</v>
      </c>
      <c r="F226" s="157"/>
      <c r="G226" s="157"/>
      <c r="H226" s="157"/>
      <c r="I226" s="157"/>
      <c r="J226" s="157"/>
      <c r="K226" s="54"/>
      <c r="L226" s="157" t="s">
        <v>6738</v>
      </c>
      <c r="M226" s="159" t="s">
        <v>6738</v>
      </c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</row>
    <row r="227">
      <c r="A227" s="156">
        <v>7.29000453213E12</v>
      </c>
      <c r="B227" s="157" t="s">
        <v>6725</v>
      </c>
      <c r="C227" s="156">
        <v>0.12</v>
      </c>
      <c r="D227" s="156">
        <v>0.18</v>
      </c>
      <c r="E227" s="156">
        <v>0.03</v>
      </c>
      <c r="F227" s="157"/>
      <c r="G227" s="157"/>
      <c r="H227" s="157"/>
      <c r="I227" s="157"/>
      <c r="J227" s="157"/>
      <c r="K227" s="54"/>
      <c r="L227" s="157" t="s">
        <v>6725</v>
      </c>
      <c r="M227" s="159" t="s">
        <v>6725</v>
      </c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</row>
    <row r="228">
      <c r="A228" s="156">
        <v>7.29000816601E12</v>
      </c>
      <c r="B228" s="157" t="s">
        <v>6739</v>
      </c>
      <c r="C228" s="156">
        <v>0.12</v>
      </c>
      <c r="D228" s="156">
        <v>0.18</v>
      </c>
      <c r="E228" s="156">
        <v>0.03</v>
      </c>
      <c r="F228" s="157"/>
      <c r="G228" s="157"/>
      <c r="H228" s="157"/>
      <c r="I228" s="157"/>
      <c r="J228" s="157"/>
      <c r="K228" s="54"/>
      <c r="L228" s="157" t="s">
        <v>6739</v>
      </c>
      <c r="M228" s="159" t="s">
        <v>6739</v>
      </c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</row>
    <row r="229">
      <c r="A229" s="156">
        <v>7.290004532062E12</v>
      </c>
      <c r="B229" s="157" t="s">
        <v>6740</v>
      </c>
      <c r="C229" s="156">
        <v>0.12</v>
      </c>
      <c r="D229" s="156">
        <v>0.18</v>
      </c>
      <c r="E229" s="156">
        <v>0.03</v>
      </c>
      <c r="F229" s="157"/>
      <c r="G229" s="157"/>
      <c r="H229" s="157"/>
      <c r="I229" s="157"/>
      <c r="J229" s="157"/>
      <c r="K229" s="54"/>
      <c r="L229" s="157" t="s">
        <v>6740</v>
      </c>
      <c r="M229" s="159" t="s">
        <v>6740</v>
      </c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</row>
    <row r="230">
      <c r="A230" s="156">
        <v>7.290004532123E12</v>
      </c>
      <c r="B230" s="157" t="s">
        <v>6741</v>
      </c>
      <c r="C230" s="156">
        <v>0.12</v>
      </c>
      <c r="D230" s="156">
        <v>0.18</v>
      </c>
      <c r="E230" s="156">
        <v>0.03</v>
      </c>
      <c r="F230" s="157"/>
      <c r="G230" s="157"/>
      <c r="H230" s="157"/>
      <c r="I230" s="157"/>
      <c r="J230" s="157"/>
      <c r="K230" s="54"/>
      <c r="L230" s="157" t="s">
        <v>6741</v>
      </c>
      <c r="M230" s="159" t="s">
        <v>6741</v>
      </c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</row>
    <row r="231">
      <c r="A231" s="156">
        <v>7.290004532161E12</v>
      </c>
      <c r="B231" s="157" t="s">
        <v>6742</v>
      </c>
      <c r="C231" s="156">
        <v>0.12</v>
      </c>
      <c r="D231" s="156">
        <v>0.18</v>
      </c>
      <c r="E231" s="156">
        <v>0.03</v>
      </c>
      <c r="F231" s="157"/>
      <c r="G231" s="157"/>
      <c r="H231" s="157"/>
      <c r="I231" s="157"/>
      <c r="J231" s="157"/>
      <c r="K231" s="54"/>
      <c r="L231" s="157" t="s">
        <v>6742</v>
      </c>
      <c r="M231" s="159" t="s">
        <v>6742</v>
      </c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</row>
    <row r="232">
      <c r="A232" s="156">
        <v>7.290014241589E12</v>
      </c>
      <c r="B232" s="156" t="s">
        <v>1814</v>
      </c>
      <c r="C232" s="156">
        <v>0.12</v>
      </c>
      <c r="D232" s="156">
        <v>0.18</v>
      </c>
      <c r="E232" s="156">
        <v>0.03</v>
      </c>
      <c r="F232" s="157"/>
      <c r="G232" s="157"/>
      <c r="H232" s="157"/>
      <c r="I232" s="157"/>
      <c r="J232" s="157"/>
      <c r="K232" s="54"/>
      <c r="L232" s="160" t="s">
        <v>1814</v>
      </c>
      <c r="M232" s="156" t="s">
        <v>1814</v>
      </c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</row>
    <row r="233">
      <c r="A233" s="156">
        <v>7.290000377209E12</v>
      </c>
      <c r="B233" s="157" t="s">
        <v>6743</v>
      </c>
      <c r="C233" s="156">
        <v>0.125</v>
      </c>
      <c r="D233" s="156">
        <v>0.18</v>
      </c>
      <c r="E233" s="156">
        <v>0.02</v>
      </c>
      <c r="F233" s="157"/>
      <c r="G233" s="157"/>
      <c r="H233" s="157"/>
      <c r="I233" s="157"/>
      <c r="J233" s="157"/>
      <c r="K233" s="54"/>
      <c r="L233" s="157" t="s">
        <v>6743</v>
      </c>
      <c r="M233" s="159" t="s">
        <v>6743</v>
      </c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</row>
    <row r="234">
      <c r="A234" s="156">
        <v>5.201044009706E12</v>
      </c>
      <c r="B234" s="156" t="s">
        <v>3319</v>
      </c>
      <c r="C234" s="156">
        <v>0.12</v>
      </c>
      <c r="D234" s="156">
        <v>0.18</v>
      </c>
      <c r="E234" s="156">
        <v>0.04</v>
      </c>
      <c r="F234" s="157"/>
      <c r="G234" s="157"/>
      <c r="H234" s="157"/>
      <c r="I234" s="157"/>
      <c r="J234" s="157"/>
      <c r="K234" s="54"/>
      <c r="L234" s="160" t="s">
        <v>3319</v>
      </c>
      <c r="M234" s="156" t="s">
        <v>3319</v>
      </c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</row>
    <row r="235">
      <c r="A235" s="156">
        <v>8.000380007219E12</v>
      </c>
      <c r="B235" s="156" t="s">
        <v>2425</v>
      </c>
      <c r="C235" s="156">
        <v>0.265</v>
      </c>
      <c r="D235" s="156">
        <v>0.09999999</v>
      </c>
      <c r="E235" s="156">
        <v>0.02</v>
      </c>
      <c r="F235" s="157"/>
      <c r="G235" s="157"/>
      <c r="H235" s="157"/>
      <c r="I235" s="157"/>
      <c r="J235" s="157"/>
      <c r="K235" s="54"/>
      <c r="L235" s="160" t="s">
        <v>2425</v>
      </c>
      <c r="M235" s="156" t="s">
        <v>2425</v>
      </c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</row>
    <row r="236">
      <c r="A236" s="156">
        <v>8.000380007257E12</v>
      </c>
      <c r="B236" s="156" t="s">
        <v>2431</v>
      </c>
      <c r="C236" s="156">
        <v>0.26</v>
      </c>
      <c r="D236" s="156">
        <v>0.09999999</v>
      </c>
      <c r="E236" s="156">
        <v>0.02</v>
      </c>
      <c r="F236" s="157"/>
      <c r="G236" s="157"/>
      <c r="H236" s="157"/>
      <c r="I236" s="157"/>
      <c r="J236" s="157"/>
      <c r="K236" s="54"/>
      <c r="L236" s="156" t="s">
        <v>2431</v>
      </c>
      <c r="M236" s="156" t="s">
        <v>2431</v>
      </c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</row>
    <row r="237">
      <c r="A237" s="156">
        <v>8.000380003723E12</v>
      </c>
      <c r="B237" s="156" t="s">
        <v>2437</v>
      </c>
      <c r="C237" s="156">
        <v>0.245</v>
      </c>
      <c r="D237" s="156">
        <v>0.075</v>
      </c>
      <c r="E237" s="156">
        <v>0.02</v>
      </c>
      <c r="F237" s="157"/>
      <c r="G237" s="157"/>
      <c r="H237" s="157"/>
      <c r="I237" s="157"/>
      <c r="J237" s="157"/>
      <c r="K237" s="54"/>
      <c r="L237" s="160" t="s">
        <v>2437</v>
      </c>
      <c r="M237" s="156" t="s">
        <v>2437</v>
      </c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</row>
    <row r="238">
      <c r="A238" s="156">
        <v>8.000380004676E12</v>
      </c>
      <c r="B238" s="156" t="s">
        <v>2456</v>
      </c>
      <c r="C238" s="156">
        <v>0.128</v>
      </c>
      <c r="D238" s="156">
        <v>0.22</v>
      </c>
      <c r="E238" s="156">
        <v>0.073</v>
      </c>
      <c r="F238" s="157"/>
      <c r="G238" s="157"/>
      <c r="H238" s="157"/>
      <c r="I238" s="157"/>
      <c r="J238" s="157"/>
      <c r="K238" s="54"/>
      <c r="L238" s="156" t="s">
        <v>2456</v>
      </c>
      <c r="M238" s="156" t="s">
        <v>2456</v>
      </c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</row>
    <row r="239">
      <c r="A239" s="156">
        <v>8.000380004911E12</v>
      </c>
      <c r="B239" s="156" t="s">
        <v>2406</v>
      </c>
      <c r="C239" s="156">
        <v>0.13</v>
      </c>
      <c r="D239" s="156">
        <v>0.2</v>
      </c>
      <c r="E239" s="156">
        <v>0.07</v>
      </c>
      <c r="F239" s="157"/>
      <c r="G239" s="157"/>
      <c r="H239" s="157"/>
      <c r="I239" s="157"/>
      <c r="J239" s="157"/>
      <c r="K239" s="54"/>
      <c r="L239" s="156" t="s">
        <v>2406</v>
      </c>
      <c r="M239" s="156" t="s">
        <v>2406</v>
      </c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</row>
    <row r="240">
      <c r="A240" s="156">
        <v>8.000380004966E12</v>
      </c>
      <c r="B240" s="156" t="s">
        <v>2413</v>
      </c>
      <c r="C240" s="156">
        <v>0.13</v>
      </c>
      <c r="D240" s="156">
        <v>0.2</v>
      </c>
      <c r="E240" s="156">
        <v>0.07</v>
      </c>
      <c r="F240" s="157"/>
      <c r="G240" s="157"/>
      <c r="H240" s="157"/>
      <c r="I240" s="157"/>
      <c r="J240" s="157"/>
      <c r="K240" s="54"/>
      <c r="L240" s="160" t="s">
        <v>2413</v>
      </c>
      <c r="M240" s="156" t="s">
        <v>2413</v>
      </c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</row>
    <row r="241">
      <c r="A241" s="156">
        <v>9.310072028743E12</v>
      </c>
      <c r="B241" s="156" t="s">
        <v>4740</v>
      </c>
      <c r="C241" s="156">
        <v>0.24</v>
      </c>
      <c r="D241" s="156">
        <v>0.075</v>
      </c>
      <c r="E241" s="156">
        <v>0.035</v>
      </c>
      <c r="F241" s="157"/>
      <c r="G241" s="157"/>
      <c r="H241" s="157"/>
      <c r="I241" s="157"/>
      <c r="J241" s="157"/>
      <c r="K241" s="54"/>
      <c r="L241" s="160" t="s">
        <v>4740</v>
      </c>
      <c r="M241" s="156" t="s">
        <v>4740</v>
      </c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</row>
    <row r="242">
      <c r="A242" s="156">
        <v>9.31007202875E12</v>
      </c>
      <c r="B242" s="156" t="s">
        <v>4733</v>
      </c>
      <c r="C242" s="156">
        <v>0.24</v>
      </c>
      <c r="D242" s="156">
        <v>0.075</v>
      </c>
      <c r="E242" s="156">
        <v>0.035</v>
      </c>
      <c r="F242" s="157"/>
      <c r="G242" s="157"/>
      <c r="H242" s="157"/>
      <c r="I242" s="157"/>
      <c r="J242" s="157"/>
      <c r="K242" s="54"/>
      <c r="L242" s="160" t="s">
        <v>4733</v>
      </c>
      <c r="M242" s="156" t="s">
        <v>4733</v>
      </c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</row>
    <row r="243">
      <c r="A243" s="156">
        <v>7.290000174099E12</v>
      </c>
      <c r="B243" s="157" t="s">
        <v>6744</v>
      </c>
      <c r="C243" s="156">
        <v>0.15</v>
      </c>
      <c r="D243" s="156">
        <v>0.23</v>
      </c>
      <c r="E243" s="156">
        <v>0.035</v>
      </c>
      <c r="F243" s="157"/>
      <c r="G243" s="157"/>
      <c r="H243" s="157"/>
      <c r="I243" s="157"/>
      <c r="J243" s="157"/>
      <c r="K243" s="54"/>
      <c r="L243" s="157" t="s">
        <v>6744</v>
      </c>
      <c r="M243" s="159" t="s">
        <v>6744</v>
      </c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</row>
    <row r="244">
      <c r="A244" s="156">
        <v>7.290000181103E12</v>
      </c>
      <c r="B244" s="157" t="s">
        <v>6745</v>
      </c>
      <c r="C244" s="156">
        <v>0.24</v>
      </c>
      <c r="D244" s="156">
        <v>0.09</v>
      </c>
      <c r="E244" s="156">
        <v>0.03</v>
      </c>
      <c r="F244" s="157"/>
      <c r="G244" s="157"/>
      <c r="H244" s="157"/>
      <c r="I244" s="157"/>
      <c r="J244" s="157"/>
      <c r="K244" s="54"/>
      <c r="L244" s="157" t="s">
        <v>6745</v>
      </c>
      <c r="M244" s="159" t="s">
        <v>6745</v>
      </c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</row>
    <row r="245">
      <c r="A245" s="156">
        <v>7.290005199622E12</v>
      </c>
      <c r="B245" s="157" t="s">
        <v>6746</v>
      </c>
      <c r="C245" s="156">
        <v>0.24</v>
      </c>
      <c r="D245" s="156">
        <v>0.09</v>
      </c>
      <c r="E245" s="156">
        <v>0.03</v>
      </c>
      <c r="F245" s="157"/>
      <c r="G245" s="157"/>
      <c r="H245" s="157"/>
      <c r="I245" s="157"/>
      <c r="J245" s="157"/>
      <c r="K245" s="54"/>
      <c r="L245" s="157" t="s">
        <v>6746</v>
      </c>
      <c r="M245" s="159" t="s">
        <v>6746</v>
      </c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</row>
    <row r="246">
      <c r="A246" s="156">
        <v>7.290008753883E12</v>
      </c>
      <c r="B246" s="157" t="s">
        <v>6747</v>
      </c>
      <c r="C246" s="156">
        <v>0.15</v>
      </c>
      <c r="D246" s="156">
        <v>0.23</v>
      </c>
      <c r="E246" s="156">
        <v>0.035</v>
      </c>
      <c r="F246" s="157"/>
      <c r="G246" s="157"/>
      <c r="H246" s="157"/>
      <c r="I246" s="157"/>
      <c r="J246" s="157"/>
      <c r="K246" s="54"/>
      <c r="L246" s="157" t="s">
        <v>6747</v>
      </c>
      <c r="M246" s="159" t="s">
        <v>6747</v>
      </c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</row>
    <row r="247">
      <c r="A247" s="156">
        <v>7.290000074184E12</v>
      </c>
      <c r="B247" s="157" t="s">
        <v>6748</v>
      </c>
      <c r="C247" s="156">
        <v>0.19</v>
      </c>
      <c r="D247" s="156">
        <v>0.075</v>
      </c>
      <c r="E247" s="156">
        <v>0.045</v>
      </c>
      <c r="F247" s="157"/>
      <c r="G247" s="157"/>
      <c r="H247" s="157"/>
      <c r="I247" s="157"/>
      <c r="J247" s="157"/>
      <c r="K247" s="54"/>
      <c r="L247" s="157" t="s">
        <v>6748</v>
      </c>
      <c r="M247" s="159" t="s">
        <v>6748</v>
      </c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</row>
    <row r="248">
      <c r="A248" s="156">
        <v>7.290000074962E12</v>
      </c>
      <c r="B248" s="157" t="s">
        <v>6749</v>
      </c>
      <c r="C248" s="156">
        <v>0.13</v>
      </c>
      <c r="D248" s="156">
        <v>0.18</v>
      </c>
      <c r="E248" s="156">
        <v>0.065</v>
      </c>
      <c r="F248" s="157"/>
      <c r="G248" s="157"/>
      <c r="H248" s="157"/>
      <c r="I248" s="157"/>
      <c r="J248" s="157"/>
      <c r="K248" s="54"/>
      <c r="L248" s="157" t="s">
        <v>6749</v>
      </c>
      <c r="M248" s="159" t="s">
        <v>6749</v>
      </c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</row>
    <row r="249">
      <c r="A249" s="156">
        <v>7.290000075143E12</v>
      </c>
      <c r="B249" s="157" t="s">
        <v>6750</v>
      </c>
      <c r="C249" s="156">
        <v>0.285</v>
      </c>
      <c r="D249" s="156">
        <v>0.08</v>
      </c>
      <c r="E249" s="156">
        <v>0.05</v>
      </c>
      <c r="F249" s="157"/>
      <c r="G249" s="157"/>
      <c r="H249" s="157"/>
      <c r="I249" s="157"/>
      <c r="J249" s="157"/>
      <c r="K249" s="54"/>
      <c r="L249" s="157" t="s">
        <v>6750</v>
      </c>
      <c r="M249" s="159" t="s">
        <v>6750</v>
      </c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</row>
    <row r="250">
      <c r="A250" s="156">
        <v>7.290000077017E12</v>
      </c>
      <c r="B250" s="157" t="s">
        <v>6751</v>
      </c>
      <c r="C250" s="156">
        <v>0.25</v>
      </c>
      <c r="D250" s="156">
        <v>0.05</v>
      </c>
      <c r="E250" s="156">
        <v>0.06</v>
      </c>
      <c r="F250" s="157"/>
      <c r="G250" s="157"/>
      <c r="H250" s="157"/>
      <c r="I250" s="157"/>
      <c r="J250" s="157"/>
      <c r="K250" s="54"/>
      <c r="L250" s="157" t="s">
        <v>6751</v>
      </c>
      <c r="M250" s="159" t="s">
        <v>6751</v>
      </c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</row>
    <row r="251">
      <c r="A251" s="156">
        <v>7.290008775816E12</v>
      </c>
      <c r="B251" s="157" t="s">
        <v>6752</v>
      </c>
      <c r="C251" s="156">
        <v>0.13</v>
      </c>
      <c r="D251" s="156">
        <v>0.19</v>
      </c>
      <c r="E251" s="156">
        <v>0.055</v>
      </c>
      <c r="F251" s="157"/>
      <c r="G251" s="157"/>
      <c r="H251" s="157"/>
      <c r="I251" s="157"/>
      <c r="J251" s="157"/>
      <c r="K251" s="54"/>
      <c r="L251" s="157" t="s">
        <v>6752</v>
      </c>
      <c r="M251" s="159" t="s">
        <v>6752</v>
      </c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</row>
    <row r="252">
      <c r="A252" s="156">
        <v>7.290008775823E12</v>
      </c>
      <c r="B252" s="157" t="s">
        <v>6753</v>
      </c>
      <c r="C252" s="156">
        <v>0.13</v>
      </c>
      <c r="D252" s="156">
        <v>0.19</v>
      </c>
      <c r="E252" s="156">
        <v>0.055</v>
      </c>
      <c r="F252" s="157"/>
      <c r="G252" s="157"/>
      <c r="H252" s="157"/>
      <c r="I252" s="157"/>
      <c r="J252" s="157"/>
      <c r="K252" s="54"/>
      <c r="L252" s="157" t="s">
        <v>6753</v>
      </c>
      <c r="M252" s="159" t="s">
        <v>6753</v>
      </c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</row>
    <row r="253">
      <c r="A253" s="156">
        <v>4.6214731552E10</v>
      </c>
      <c r="B253" s="156" t="s">
        <v>6754</v>
      </c>
      <c r="C253" s="156">
        <v>0.28</v>
      </c>
      <c r="D253" s="156">
        <v>0.08</v>
      </c>
      <c r="E253" s="156">
        <v>0.05</v>
      </c>
      <c r="F253" s="157"/>
      <c r="G253" s="157"/>
      <c r="H253" s="157"/>
      <c r="I253" s="157"/>
      <c r="J253" s="157"/>
      <c r="K253" s="54"/>
      <c r="L253" s="160" t="s">
        <v>6754</v>
      </c>
      <c r="M253" s="156" t="s">
        <v>6754</v>
      </c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</row>
    <row r="254">
      <c r="A254" s="156">
        <v>7.622010001858E12</v>
      </c>
      <c r="B254" s="156" t="s">
        <v>3220</v>
      </c>
      <c r="C254" s="156">
        <v>0.192</v>
      </c>
      <c r="D254" s="156">
        <v>0.11</v>
      </c>
      <c r="E254" s="156">
        <v>0.032</v>
      </c>
      <c r="F254" s="157"/>
      <c r="G254" s="157"/>
      <c r="H254" s="157"/>
      <c r="I254" s="157"/>
      <c r="J254" s="157"/>
      <c r="K254" s="54"/>
      <c r="L254" s="160" t="s">
        <v>3220</v>
      </c>
      <c r="M254" s="156" t="s">
        <v>3220</v>
      </c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</row>
    <row r="255">
      <c r="A255" s="156">
        <v>7.290107951111E12</v>
      </c>
      <c r="B255" s="156" t="s">
        <v>223</v>
      </c>
      <c r="C255" s="156">
        <v>0.135</v>
      </c>
      <c r="D255" s="156">
        <v>0.2</v>
      </c>
      <c r="E255" s="156">
        <v>0.035</v>
      </c>
      <c r="F255" s="157"/>
      <c r="G255" s="157"/>
      <c r="H255" s="157"/>
      <c r="I255" s="157"/>
      <c r="J255" s="157"/>
      <c r="K255" s="54"/>
      <c r="L255" s="160" t="s">
        <v>223</v>
      </c>
      <c r="M255" s="156" t="s">
        <v>223</v>
      </c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</row>
    <row r="256">
      <c r="A256" s="156">
        <v>8.000380003761E12</v>
      </c>
      <c r="B256" s="156" t="s">
        <v>2394</v>
      </c>
      <c r="C256" s="156">
        <v>0.245</v>
      </c>
      <c r="D256" s="156">
        <v>0.075</v>
      </c>
      <c r="E256" s="156">
        <v>0.05</v>
      </c>
      <c r="F256" s="157"/>
      <c r="G256" s="157"/>
      <c r="H256" s="157"/>
      <c r="I256" s="157"/>
      <c r="J256" s="157"/>
      <c r="K256" s="54"/>
      <c r="L256" s="156" t="s">
        <v>2394</v>
      </c>
      <c r="M256" s="156" t="s">
        <v>2394</v>
      </c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</row>
    <row r="257">
      <c r="A257" s="156">
        <v>7.290104061219E12</v>
      </c>
      <c r="B257" s="156" t="s">
        <v>3986</v>
      </c>
      <c r="C257" s="156">
        <v>0.26</v>
      </c>
      <c r="D257" s="156">
        <v>0.09</v>
      </c>
      <c r="E257" s="156">
        <v>0.03</v>
      </c>
      <c r="F257" s="157"/>
      <c r="G257" s="157"/>
      <c r="H257" s="157"/>
      <c r="I257" s="157"/>
      <c r="J257" s="157"/>
      <c r="K257" s="54"/>
      <c r="L257" s="160" t="s">
        <v>3986</v>
      </c>
      <c r="M257" s="156" t="s">
        <v>3986</v>
      </c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</row>
    <row r="258">
      <c r="A258" s="156">
        <v>7.622300356767E12</v>
      </c>
      <c r="B258" s="156" t="s">
        <v>2705</v>
      </c>
      <c r="C258" s="156">
        <v>0.26</v>
      </c>
      <c r="D258" s="156">
        <v>0.09</v>
      </c>
      <c r="E258" s="156">
        <v>0.06</v>
      </c>
      <c r="F258" s="157"/>
      <c r="G258" s="157"/>
      <c r="H258" s="157"/>
      <c r="I258" s="157"/>
      <c r="J258" s="157"/>
      <c r="K258" s="54"/>
      <c r="L258" s="160" t="s">
        <v>2705</v>
      </c>
      <c r="M258" s="156" t="s">
        <v>2705</v>
      </c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</row>
    <row r="259">
      <c r="A259" s="156">
        <v>7.290100853689E12</v>
      </c>
      <c r="B259" s="156" t="s">
        <v>1211</v>
      </c>
      <c r="C259" s="156">
        <v>0.28</v>
      </c>
      <c r="D259" s="156">
        <v>0.125</v>
      </c>
      <c r="E259" s="156">
        <v>0.03</v>
      </c>
      <c r="F259" s="157"/>
      <c r="G259" s="157"/>
      <c r="H259" s="157"/>
      <c r="I259" s="157"/>
      <c r="J259" s="157"/>
      <c r="K259" s="54"/>
      <c r="L259" s="160" t="s">
        <v>1211</v>
      </c>
      <c r="M259" s="156" t="s">
        <v>1211</v>
      </c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</row>
    <row r="260">
      <c r="A260" s="156">
        <v>7.290106520066E12</v>
      </c>
      <c r="B260" s="156" t="s">
        <v>3992</v>
      </c>
      <c r="C260" s="156">
        <v>0.26</v>
      </c>
      <c r="D260" s="156">
        <v>0.09</v>
      </c>
      <c r="E260" s="156">
        <v>0.03</v>
      </c>
      <c r="F260" s="157"/>
      <c r="G260" s="157"/>
      <c r="H260" s="157"/>
      <c r="I260" s="157"/>
      <c r="J260" s="157"/>
      <c r="K260" s="54"/>
      <c r="L260" s="160" t="s">
        <v>3992</v>
      </c>
      <c r="M260" s="156" t="s">
        <v>3992</v>
      </c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</row>
    <row r="261">
      <c r="A261" s="156">
        <v>8.000380153442E12</v>
      </c>
      <c r="B261" s="156" t="s">
        <v>2450</v>
      </c>
      <c r="C261" s="156">
        <v>0.195</v>
      </c>
      <c r="D261" s="156">
        <v>0.07</v>
      </c>
      <c r="E261" s="156">
        <v>0.02</v>
      </c>
      <c r="F261" s="157"/>
      <c r="G261" s="157"/>
      <c r="H261" s="157"/>
      <c r="I261" s="157"/>
      <c r="J261" s="157"/>
      <c r="K261" s="54"/>
      <c r="L261" s="160" t="s">
        <v>2450</v>
      </c>
      <c r="M261" s="156" t="s">
        <v>2450</v>
      </c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</row>
    <row r="262">
      <c r="A262" s="156">
        <v>8.000380153466E12</v>
      </c>
      <c r="B262" s="156" t="s">
        <v>2369</v>
      </c>
      <c r="C262" s="156">
        <v>0.195</v>
      </c>
      <c r="D262" s="156">
        <v>0.07</v>
      </c>
      <c r="E262" s="156">
        <v>0.02</v>
      </c>
      <c r="F262" s="157"/>
      <c r="G262" s="157"/>
      <c r="H262" s="157"/>
      <c r="I262" s="157"/>
      <c r="J262" s="157"/>
      <c r="K262" s="54"/>
      <c r="L262" s="160" t="s">
        <v>2369</v>
      </c>
      <c r="M262" s="156" t="s">
        <v>2369</v>
      </c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</row>
    <row r="263">
      <c r="A263" s="156">
        <v>7.290106656512E12</v>
      </c>
      <c r="B263" s="156" t="s">
        <v>182</v>
      </c>
      <c r="C263" s="156">
        <v>0.15</v>
      </c>
      <c r="D263" s="156">
        <v>0.23</v>
      </c>
      <c r="E263" s="156">
        <v>0.035</v>
      </c>
      <c r="F263" s="157"/>
      <c r="G263" s="157"/>
      <c r="H263" s="157"/>
      <c r="I263" s="157"/>
      <c r="J263" s="157"/>
      <c r="K263" s="54"/>
      <c r="L263" s="156" t="s">
        <v>182</v>
      </c>
      <c r="M263" s="156" t="s">
        <v>182</v>
      </c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</row>
    <row r="264">
      <c r="A264" s="156">
        <v>8.000380180745E12</v>
      </c>
      <c r="B264" s="156" t="s">
        <v>2419</v>
      </c>
      <c r="C264" s="156">
        <v>0.13</v>
      </c>
      <c r="D264" s="156">
        <v>0.2</v>
      </c>
      <c r="E264" s="156">
        <v>0.07</v>
      </c>
      <c r="F264" s="157"/>
      <c r="G264" s="157"/>
      <c r="H264" s="157"/>
      <c r="I264" s="157"/>
      <c r="J264" s="157"/>
      <c r="K264" s="54"/>
      <c r="L264" s="160" t="s">
        <v>2419</v>
      </c>
      <c r="M264" s="156" t="s">
        <v>2419</v>
      </c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</row>
    <row r="265">
      <c r="A265" s="156">
        <v>7.290107944366E12</v>
      </c>
      <c r="B265" s="156" t="s">
        <v>3998</v>
      </c>
      <c r="C265" s="156">
        <v>0.26</v>
      </c>
      <c r="D265" s="156">
        <v>0.09</v>
      </c>
      <c r="E265" s="156">
        <v>0.03</v>
      </c>
      <c r="F265" s="157"/>
      <c r="G265" s="157"/>
      <c r="H265" s="157"/>
      <c r="I265" s="157"/>
      <c r="J265" s="157"/>
      <c r="K265" s="54"/>
      <c r="L265" s="160" t="s">
        <v>3998</v>
      </c>
      <c r="M265" s="156" t="s">
        <v>3998</v>
      </c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</row>
    <row r="266">
      <c r="A266" s="156">
        <v>7.290107954457E12</v>
      </c>
      <c r="B266" s="156" t="s">
        <v>1191</v>
      </c>
      <c r="C266" s="156">
        <v>0.28</v>
      </c>
      <c r="D266" s="156">
        <v>0.128</v>
      </c>
      <c r="E266" s="156">
        <v>0.03</v>
      </c>
      <c r="F266" s="157"/>
      <c r="G266" s="157"/>
      <c r="H266" s="157"/>
      <c r="I266" s="157"/>
      <c r="J266" s="157"/>
      <c r="K266" s="54"/>
      <c r="L266" s="156" t="s">
        <v>1191</v>
      </c>
      <c r="M266" s="156" t="s">
        <v>1191</v>
      </c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</row>
    <row r="267">
      <c r="A267" s="156">
        <v>7.290112332691E12</v>
      </c>
      <c r="B267" s="156" t="s">
        <v>3402</v>
      </c>
      <c r="C267" s="156">
        <v>0.265</v>
      </c>
      <c r="D267" s="156">
        <v>0.09</v>
      </c>
      <c r="E267" s="156">
        <v>0.03</v>
      </c>
      <c r="F267" s="157"/>
      <c r="G267" s="157"/>
      <c r="H267" s="157"/>
      <c r="I267" s="157"/>
      <c r="J267" s="157"/>
      <c r="K267" s="54"/>
      <c r="L267" s="160" t="s">
        <v>3402</v>
      </c>
      <c r="M267" s="156" t="s">
        <v>3402</v>
      </c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</row>
    <row r="268">
      <c r="A268" s="156">
        <v>7.290112332707E12</v>
      </c>
      <c r="B268" s="156" t="s">
        <v>3974</v>
      </c>
      <c r="C268" s="156">
        <v>0.11</v>
      </c>
      <c r="D268" s="156">
        <v>0.23</v>
      </c>
      <c r="E268" s="156">
        <v>0.035</v>
      </c>
      <c r="F268" s="157"/>
      <c r="G268" s="157"/>
      <c r="H268" s="157"/>
      <c r="I268" s="157"/>
      <c r="J268" s="157"/>
      <c r="K268" s="54"/>
      <c r="L268" s="160" t="s">
        <v>3974</v>
      </c>
      <c r="M268" s="156" t="s">
        <v>3974</v>
      </c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</row>
    <row r="269">
      <c r="A269" s="156">
        <v>7.290112331946E12</v>
      </c>
      <c r="B269" s="156" t="s">
        <v>3980</v>
      </c>
      <c r="C269" s="156">
        <v>0.26</v>
      </c>
      <c r="D269" s="156">
        <v>0.09</v>
      </c>
      <c r="E269" s="156">
        <v>0.03</v>
      </c>
      <c r="F269" s="157"/>
      <c r="G269" s="157"/>
      <c r="H269" s="157"/>
      <c r="I269" s="157"/>
      <c r="J269" s="157"/>
      <c r="K269" s="54"/>
      <c r="L269" s="160" t="s">
        <v>3980</v>
      </c>
      <c r="M269" s="156" t="s">
        <v>3980</v>
      </c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</row>
    <row r="270">
      <c r="A270" s="156">
        <v>7.290112345332E12</v>
      </c>
      <c r="B270" s="156" t="s">
        <v>1200</v>
      </c>
      <c r="C270" s="156">
        <v>0.27</v>
      </c>
      <c r="D270" s="156">
        <v>0.115</v>
      </c>
      <c r="E270" s="156">
        <v>0.045</v>
      </c>
      <c r="F270" s="157"/>
      <c r="G270" s="157"/>
      <c r="H270" s="157"/>
      <c r="I270" s="157"/>
      <c r="J270" s="157"/>
      <c r="K270" s="54"/>
      <c r="L270" s="160" t="s">
        <v>1200</v>
      </c>
      <c r="M270" s="156" t="s">
        <v>1200</v>
      </c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</row>
    <row r="271">
      <c r="A271" s="156">
        <v>7.290112346537E12</v>
      </c>
      <c r="B271" s="156" t="s">
        <v>4765</v>
      </c>
      <c r="C271" s="156">
        <v>0.26</v>
      </c>
      <c r="D271" s="156">
        <v>0.09</v>
      </c>
      <c r="E271" s="156">
        <v>0.03</v>
      </c>
      <c r="F271" s="157"/>
      <c r="G271" s="157"/>
      <c r="H271" s="157"/>
      <c r="I271" s="157"/>
      <c r="J271" s="157"/>
      <c r="K271" s="54"/>
      <c r="L271" s="160" t="s">
        <v>4765</v>
      </c>
      <c r="M271" s="156" t="s">
        <v>4765</v>
      </c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</row>
    <row r="272">
      <c r="A272" s="156">
        <v>7.290107951104E12</v>
      </c>
      <c r="B272" s="156" t="s">
        <v>200</v>
      </c>
      <c r="C272" s="156">
        <v>0.135</v>
      </c>
      <c r="D272" s="156">
        <v>0.2</v>
      </c>
      <c r="E272" s="156">
        <v>0.035</v>
      </c>
      <c r="F272" s="157"/>
      <c r="G272" s="157"/>
      <c r="H272" s="157"/>
      <c r="I272" s="157"/>
      <c r="J272" s="157"/>
      <c r="K272" s="54"/>
      <c r="L272" s="160" t="s">
        <v>200</v>
      </c>
      <c r="M272" s="156" t="s">
        <v>200</v>
      </c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</row>
    <row r="273">
      <c r="A273" s="156">
        <v>7.622210829108E12</v>
      </c>
      <c r="B273" s="156" t="s">
        <v>3214</v>
      </c>
      <c r="C273" s="156">
        <v>0.045</v>
      </c>
      <c r="D273" s="156">
        <v>0.195</v>
      </c>
      <c r="E273" s="156">
        <v>0.055</v>
      </c>
      <c r="F273" s="157"/>
      <c r="G273" s="157"/>
      <c r="H273" s="157"/>
      <c r="I273" s="157"/>
      <c r="J273" s="157"/>
      <c r="K273" s="54"/>
      <c r="L273" s="160" t="s">
        <v>3214</v>
      </c>
      <c r="M273" s="156" t="s">
        <v>3214</v>
      </c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</row>
    <row r="274">
      <c r="A274" s="156">
        <v>7.622210829085E12</v>
      </c>
      <c r="B274" s="156" t="s">
        <v>3226</v>
      </c>
      <c r="C274" s="156">
        <v>0.045</v>
      </c>
      <c r="D274" s="156">
        <v>0.195</v>
      </c>
      <c r="E274" s="156">
        <v>0.055</v>
      </c>
      <c r="F274" s="157"/>
      <c r="G274" s="157"/>
      <c r="H274" s="157"/>
      <c r="I274" s="157"/>
      <c r="J274" s="157"/>
      <c r="K274" s="54"/>
      <c r="L274" s="160" t="s">
        <v>3226</v>
      </c>
      <c r="M274" s="156" t="s">
        <v>3226</v>
      </c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</row>
    <row r="275">
      <c r="A275" s="156">
        <v>7.290115200027E12</v>
      </c>
      <c r="B275" s="156" t="s">
        <v>3441</v>
      </c>
      <c r="C275" s="156">
        <v>0.235</v>
      </c>
      <c r="D275" s="156">
        <v>0.105</v>
      </c>
      <c r="E275" s="156">
        <v>0.045</v>
      </c>
      <c r="F275" s="157"/>
      <c r="G275" s="157"/>
      <c r="H275" s="157"/>
      <c r="I275" s="157"/>
      <c r="J275" s="157"/>
      <c r="K275" s="54"/>
      <c r="L275" s="160" t="s">
        <v>3441</v>
      </c>
      <c r="M275" s="156" t="s">
        <v>3441</v>
      </c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</row>
    <row r="276">
      <c r="A276" s="156">
        <v>7.622300761363E12</v>
      </c>
      <c r="B276" s="156" t="s">
        <v>3184</v>
      </c>
      <c r="C276" s="156">
        <v>0.09</v>
      </c>
      <c r="D276" s="156">
        <v>0.11</v>
      </c>
      <c r="E276" s="156">
        <v>0.09</v>
      </c>
      <c r="F276" s="157"/>
      <c r="G276" s="157"/>
      <c r="H276" s="157"/>
      <c r="I276" s="157"/>
      <c r="J276" s="157"/>
      <c r="K276" s="54"/>
      <c r="L276" s="160" t="s">
        <v>3184</v>
      </c>
      <c r="M276" s="156" t="s">
        <v>3184</v>
      </c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</row>
    <row r="277">
      <c r="A277" s="156">
        <v>7.622210874351E12</v>
      </c>
      <c r="B277" s="156" t="s">
        <v>3208</v>
      </c>
      <c r="C277" s="156">
        <v>0.09</v>
      </c>
      <c r="D277" s="156">
        <v>0.11</v>
      </c>
      <c r="E277" s="156">
        <v>0.09</v>
      </c>
      <c r="F277" s="157"/>
      <c r="G277" s="157"/>
      <c r="H277" s="157"/>
      <c r="I277" s="157"/>
      <c r="J277" s="157"/>
      <c r="K277" s="54"/>
      <c r="L277" s="160" t="s">
        <v>3208</v>
      </c>
      <c r="M277" s="156" t="s">
        <v>3208</v>
      </c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</row>
    <row r="278">
      <c r="A278" s="156">
        <v>8.000380187249E12</v>
      </c>
      <c r="B278" s="156" t="s">
        <v>2361</v>
      </c>
      <c r="C278" s="156">
        <v>0.21</v>
      </c>
      <c r="D278" s="156">
        <v>0.09999999</v>
      </c>
      <c r="E278" s="156">
        <v>0.03</v>
      </c>
      <c r="F278" s="157"/>
      <c r="G278" s="157"/>
      <c r="H278" s="157"/>
      <c r="I278" s="157"/>
      <c r="J278" s="157"/>
      <c r="K278" s="54"/>
      <c r="L278" s="160" t="s">
        <v>2361</v>
      </c>
      <c r="M278" s="156" t="s">
        <v>2361</v>
      </c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</row>
    <row r="279">
      <c r="A279" s="156">
        <v>7.290106669406E12</v>
      </c>
      <c r="B279" s="156" t="s">
        <v>3961</v>
      </c>
      <c r="C279" s="156">
        <v>0.275</v>
      </c>
      <c r="D279" s="156">
        <v>0.105</v>
      </c>
      <c r="E279" s="156">
        <v>0.03</v>
      </c>
      <c r="F279" s="157"/>
      <c r="G279" s="157"/>
      <c r="H279" s="157"/>
      <c r="I279" s="157"/>
      <c r="J279" s="157"/>
      <c r="K279" s="54"/>
      <c r="L279" s="160" t="s">
        <v>3961</v>
      </c>
      <c r="M279" s="156" t="s">
        <v>3961</v>
      </c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</row>
    <row r="280">
      <c r="A280" s="156">
        <v>7.290107958523E12</v>
      </c>
      <c r="B280" s="156" t="s">
        <v>3954</v>
      </c>
      <c r="C280" s="156">
        <v>0.275</v>
      </c>
      <c r="D280" s="156">
        <v>0.105</v>
      </c>
      <c r="E280" s="156">
        <v>0.03</v>
      </c>
      <c r="F280" s="157"/>
      <c r="G280" s="157"/>
      <c r="H280" s="157"/>
      <c r="I280" s="157"/>
      <c r="J280" s="157"/>
      <c r="K280" s="54"/>
      <c r="L280" s="160" t="s">
        <v>3954</v>
      </c>
      <c r="M280" s="156" t="s">
        <v>3954</v>
      </c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</row>
    <row r="281">
      <c r="A281" s="156">
        <v>8.000380187119E12</v>
      </c>
      <c r="B281" s="156" t="s">
        <v>2400</v>
      </c>
      <c r="C281" s="156">
        <v>0.21</v>
      </c>
      <c r="D281" s="156">
        <v>0.09999999</v>
      </c>
      <c r="E281" s="156">
        <v>0.03</v>
      </c>
      <c r="F281" s="157"/>
      <c r="G281" s="157"/>
      <c r="H281" s="157"/>
      <c r="I281" s="157"/>
      <c r="J281" s="157"/>
      <c r="K281" s="54"/>
      <c r="L281" s="160" t="s">
        <v>2400</v>
      </c>
      <c r="M281" s="156" t="s">
        <v>2400</v>
      </c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</row>
    <row r="282">
      <c r="A282" s="156">
        <v>7.622210835338E12</v>
      </c>
      <c r="B282" s="156" t="s">
        <v>3202</v>
      </c>
      <c r="C282" s="156">
        <v>0.192</v>
      </c>
      <c r="D282" s="156">
        <v>0.11</v>
      </c>
      <c r="E282" s="156">
        <v>0.032</v>
      </c>
      <c r="F282" s="157"/>
      <c r="G282" s="157"/>
      <c r="H282" s="157"/>
      <c r="I282" s="157"/>
      <c r="J282" s="157"/>
      <c r="K282" s="54"/>
      <c r="L282" s="160" t="s">
        <v>3202</v>
      </c>
      <c r="M282" s="156" t="s">
        <v>3202</v>
      </c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</row>
    <row r="283">
      <c r="A283" s="156">
        <v>8.0003801873E12</v>
      </c>
      <c r="B283" s="156" t="s">
        <v>2382</v>
      </c>
      <c r="C283" s="156">
        <v>0.245</v>
      </c>
      <c r="D283" s="156">
        <v>0.072</v>
      </c>
      <c r="E283" s="156">
        <v>0.035</v>
      </c>
      <c r="F283" s="157"/>
      <c r="G283" s="157"/>
      <c r="H283" s="157"/>
      <c r="I283" s="157"/>
      <c r="J283" s="157"/>
      <c r="K283" s="54"/>
      <c r="L283" s="160" t="s">
        <v>2382</v>
      </c>
      <c r="M283" s="156" t="s">
        <v>2382</v>
      </c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</row>
    <row r="284">
      <c r="A284" s="156">
        <v>7.6222014019E12</v>
      </c>
      <c r="B284" s="156" t="s">
        <v>2736</v>
      </c>
      <c r="C284" s="156">
        <v>0.18</v>
      </c>
      <c r="D284" s="156">
        <v>0.09999999</v>
      </c>
      <c r="E284" s="156">
        <v>0.04</v>
      </c>
      <c r="F284" s="157"/>
      <c r="G284" s="157"/>
      <c r="H284" s="157"/>
      <c r="I284" s="157"/>
      <c r="J284" s="157"/>
      <c r="K284" s="54"/>
      <c r="L284" s="160" t="s">
        <v>2736</v>
      </c>
      <c r="M284" s="156" t="s">
        <v>2736</v>
      </c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</row>
    <row r="285">
      <c r="A285" s="156">
        <v>8.690526019178E12</v>
      </c>
      <c r="B285" s="156" t="s">
        <v>6755</v>
      </c>
      <c r="C285" s="156">
        <v>0.245</v>
      </c>
      <c r="D285" s="156">
        <v>0.085</v>
      </c>
      <c r="E285" s="156">
        <v>0.02</v>
      </c>
      <c r="F285" s="157"/>
      <c r="G285" s="157"/>
      <c r="H285" s="157"/>
      <c r="I285" s="157"/>
      <c r="J285" s="157"/>
      <c r="K285" s="54"/>
      <c r="L285" s="160" t="s">
        <v>6755</v>
      </c>
      <c r="M285" s="156" t="s">
        <v>6755</v>
      </c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</row>
    <row r="286">
      <c r="A286" s="156">
        <v>8.690526019154E12</v>
      </c>
      <c r="B286" s="156" t="s">
        <v>6756</v>
      </c>
      <c r="C286" s="156">
        <v>0.245</v>
      </c>
      <c r="D286" s="156">
        <v>0.085</v>
      </c>
      <c r="E286" s="156">
        <v>0.02</v>
      </c>
      <c r="F286" s="157"/>
      <c r="G286" s="157"/>
      <c r="H286" s="157"/>
      <c r="I286" s="157"/>
      <c r="J286" s="157"/>
      <c r="K286" s="54"/>
      <c r="L286" s="160" t="s">
        <v>6756</v>
      </c>
      <c r="M286" s="156" t="s">
        <v>6756</v>
      </c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</row>
    <row r="287">
      <c r="A287" s="156">
        <v>7.290018194683E12</v>
      </c>
      <c r="B287" s="156" t="s">
        <v>4812</v>
      </c>
      <c r="C287" s="156">
        <v>0.09</v>
      </c>
      <c r="D287" s="156">
        <v>0.15</v>
      </c>
      <c r="E287" s="156">
        <v>0.09</v>
      </c>
      <c r="F287" s="157"/>
      <c r="G287" s="157"/>
      <c r="H287" s="157"/>
      <c r="I287" s="157"/>
      <c r="J287" s="157"/>
      <c r="K287" s="54"/>
      <c r="L287" s="160" t="s">
        <v>4812</v>
      </c>
      <c r="M287" s="156" t="s">
        <v>4812</v>
      </c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</row>
    <row r="288">
      <c r="A288" s="156">
        <v>5.410126006339E12</v>
      </c>
      <c r="B288" s="156" t="s">
        <v>2464</v>
      </c>
      <c r="C288" s="156">
        <v>0.15</v>
      </c>
      <c r="D288" s="156">
        <v>0.08</v>
      </c>
      <c r="E288" s="156">
        <v>0.03</v>
      </c>
      <c r="F288" s="157"/>
      <c r="G288" s="157"/>
      <c r="H288" s="157"/>
      <c r="I288" s="157"/>
      <c r="J288" s="157"/>
      <c r="K288" s="54"/>
      <c r="L288" s="160" t="s">
        <v>2464</v>
      </c>
      <c r="M288" s="156" t="s">
        <v>2464</v>
      </c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</row>
    <row r="289">
      <c r="A289" s="156">
        <v>7.622210638021E12</v>
      </c>
      <c r="B289" s="156" t="s">
        <v>3172</v>
      </c>
      <c r="C289" s="156">
        <v>0.14</v>
      </c>
      <c r="D289" s="156">
        <v>0.17</v>
      </c>
      <c r="E289" s="156">
        <v>0.035</v>
      </c>
      <c r="F289" s="157"/>
      <c r="G289" s="157"/>
      <c r="H289" s="157"/>
      <c r="I289" s="157"/>
      <c r="J289" s="157"/>
      <c r="K289" s="54"/>
      <c r="L289" s="160" t="s">
        <v>3172</v>
      </c>
      <c r="M289" s="156" t="s">
        <v>3172</v>
      </c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</row>
    <row r="290">
      <c r="A290" s="156">
        <v>7.622210637994E12</v>
      </c>
      <c r="B290" s="156" t="s">
        <v>3178</v>
      </c>
      <c r="C290" s="156">
        <v>0.14</v>
      </c>
      <c r="D290" s="156">
        <v>0.17</v>
      </c>
      <c r="E290" s="156">
        <v>0.035</v>
      </c>
      <c r="F290" s="157"/>
      <c r="G290" s="157"/>
      <c r="H290" s="157"/>
      <c r="I290" s="157"/>
      <c r="J290" s="157"/>
      <c r="K290" s="54"/>
      <c r="L290" s="160" t="s">
        <v>3178</v>
      </c>
      <c r="M290" s="156" t="s">
        <v>3178</v>
      </c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</row>
    <row r="291">
      <c r="A291" s="156">
        <v>7.622201809188E12</v>
      </c>
      <c r="B291" s="156" t="s">
        <v>2699</v>
      </c>
      <c r="C291" s="156">
        <v>0.26</v>
      </c>
      <c r="D291" s="156">
        <v>0.09</v>
      </c>
      <c r="E291" s="156">
        <v>0.06</v>
      </c>
      <c r="F291" s="157"/>
      <c r="G291" s="157"/>
      <c r="H291" s="157"/>
      <c r="I291" s="157"/>
      <c r="J291" s="157"/>
      <c r="K291" s="54"/>
      <c r="L291" s="160" t="s">
        <v>2699</v>
      </c>
      <c r="M291" s="156" t="s">
        <v>2699</v>
      </c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</row>
    <row r="292">
      <c r="A292" s="156">
        <v>7.622201137052E12</v>
      </c>
      <c r="B292" s="156" t="s">
        <v>2717</v>
      </c>
      <c r="C292" s="156">
        <v>0.14</v>
      </c>
      <c r="D292" s="156">
        <v>0.17</v>
      </c>
      <c r="E292" s="156">
        <v>0.035</v>
      </c>
      <c r="F292" s="157"/>
      <c r="G292" s="157"/>
      <c r="H292" s="157"/>
      <c r="I292" s="157"/>
      <c r="J292" s="157"/>
      <c r="K292" s="54"/>
      <c r="L292" s="160" t="s">
        <v>2717</v>
      </c>
      <c r="M292" s="156" t="s">
        <v>2717</v>
      </c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</row>
    <row r="293">
      <c r="A293" s="156">
        <v>8.710502231018E12</v>
      </c>
      <c r="B293" s="156" t="s">
        <v>2644</v>
      </c>
      <c r="C293" s="156">
        <v>0.09</v>
      </c>
      <c r="D293" s="156">
        <v>0.16</v>
      </c>
      <c r="E293" s="156">
        <v>0.07</v>
      </c>
      <c r="F293" s="157"/>
      <c r="G293" s="157"/>
      <c r="H293" s="157"/>
      <c r="I293" s="157"/>
      <c r="J293" s="157"/>
      <c r="K293" s="54"/>
      <c r="L293" s="160" t="s">
        <v>2644</v>
      </c>
      <c r="M293" s="156" t="s">
        <v>2644</v>
      </c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</row>
    <row r="294">
      <c r="A294" s="156">
        <v>8.850389103111E12</v>
      </c>
      <c r="B294" s="156" t="s">
        <v>4077</v>
      </c>
      <c r="C294" s="156">
        <v>0.053</v>
      </c>
      <c r="D294" s="156">
        <v>0.193</v>
      </c>
      <c r="E294" s="156">
        <v>0.053</v>
      </c>
      <c r="F294" s="157"/>
      <c r="G294" s="157"/>
      <c r="H294" s="157"/>
      <c r="I294" s="157"/>
      <c r="J294" s="157"/>
      <c r="K294" s="54"/>
      <c r="L294" s="160" t="s">
        <v>4077</v>
      </c>
      <c r="M294" s="156" t="s">
        <v>4077</v>
      </c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</row>
    <row r="295">
      <c r="A295" s="156">
        <v>8.850389103128E12</v>
      </c>
      <c r="B295" s="156" t="s">
        <v>4083</v>
      </c>
      <c r="C295" s="156">
        <v>0.053</v>
      </c>
      <c r="D295" s="156">
        <v>0.193</v>
      </c>
      <c r="E295" s="156">
        <v>0.053</v>
      </c>
      <c r="F295" s="157"/>
      <c r="G295" s="157"/>
      <c r="H295" s="157"/>
      <c r="I295" s="157"/>
      <c r="J295" s="157"/>
      <c r="K295" s="54"/>
      <c r="L295" s="160" t="s">
        <v>4083</v>
      </c>
      <c r="M295" s="156" t="s">
        <v>4083</v>
      </c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</row>
    <row r="296">
      <c r="A296" s="156">
        <v>5.906485301012E12</v>
      </c>
      <c r="B296" s="156" t="s">
        <v>4924</v>
      </c>
      <c r="C296" s="156">
        <v>0.053</v>
      </c>
      <c r="D296" s="156">
        <v>0.134</v>
      </c>
      <c r="E296" s="156">
        <v>0.053</v>
      </c>
      <c r="F296" s="157"/>
      <c r="G296" s="157"/>
      <c r="H296" s="157"/>
      <c r="I296" s="157"/>
      <c r="J296" s="157"/>
      <c r="K296" s="54"/>
      <c r="L296" s="160" t="s">
        <v>4924</v>
      </c>
      <c r="M296" s="156" t="s">
        <v>4924</v>
      </c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</row>
    <row r="297">
      <c r="A297" s="156">
        <v>7.290002331018E12</v>
      </c>
      <c r="B297" s="157" t="s">
        <v>6757</v>
      </c>
      <c r="C297" s="156">
        <v>0.068</v>
      </c>
      <c r="D297" s="156">
        <v>0.2</v>
      </c>
      <c r="E297" s="156">
        <v>0.068</v>
      </c>
      <c r="F297" s="157"/>
      <c r="G297" s="157"/>
      <c r="H297" s="157"/>
      <c r="I297" s="157"/>
      <c r="J297" s="157"/>
      <c r="K297" s="54"/>
      <c r="L297" s="157" t="s">
        <v>6757</v>
      </c>
      <c r="M297" s="159" t="s">
        <v>6757</v>
      </c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</row>
    <row r="298">
      <c r="A298" s="156">
        <v>7.29000159423E12</v>
      </c>
      <c r="B298" s="157" t="s">
        <v>6758</v>
      </c>
      <c r="C298" s="156">
        <v>0.06</v>
      </c>
      <c r="D298" s="156">
        <v>0.205</v>
      </c>
      <c r="E298" s="156">
        <v>0.06</v>
      </c>
      <c r="F298" s="157"/>
      <c r="G298" s="157"/>
      <c r="H298" s="157"/>
      <c r="I298" s="157"/>
      <c r="J298" s="157"/>
      <c r="K298" s="54"/>
      <c r="L298" s="157" t="s">
        <v>6758</v>
      </c>
      <c r="M298" s="159" t="s">
        <v>6758</v>
      </c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</row>
    <row r="299">
      <c r="A299" s="156">
        <v>7.290000377612E12</v>
      </c>
      <c r="B299" s="157" t="s">
        <v>6759</v>
      </c>
      <c r="C299" s="156">
        <v>0.07</v>
      </c>
      <c r="D299" s="156">
        <v>0.19</v>
      </c>
      <c r="E299" s="156">
        <v>0.053</v>
      </c>
      <c r="F299" s="157"/>
      <c r="G299" s="157"/>
      <c r="H299" s="157"/>
      <c r="I299" s="157"/>
      <c r="J299" s="157"/>
      <c r="K299" s="54"/>
      <c r="L299" s="157" t="s">
        <v>6759</v>
      </c>
      <c r="M299" s="159" t="s">
        <v>6759</v>
      </c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</row>
    <row r="300">
      <c r="A300" s="156">
        <v>8.850389104637E12</v>
      </c>
      <c r="B300" s="156" t="s">
        <v>4101</v>
      </c>
      <c r="C300" s="156">
        <v>0.053</v>
      </c>
      <c r="D300" s="156">
        <v>0.193</v>
      </c>
      <c r="E300" s="156">
        <v>0.053</v>
      </c>
      <c r="F300" s="157"/>
      <c r="G300" s="157"/>
      <c r="H300" s="157"/>
      <c r="I300" s="157"/>
      <c r="J300" s="157"/>
      <c r="K300" s="54"/>
      <c r="L300" s="160" t="s">
        <v>4101</v>
      </c>
      <c r="M300" s="156" t="s">
        <v>4101</v>
      </c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</row>
    <row r="301">
      <c r="A301" s="156">
        <v>7.290011018184E12</v>
      </c>
      <c r="B301" s="156" t="s">
        <v>1588</v>
      </c>
      <c r="C301" s="156">
        <v>0.073</v>
      </c>
      <c r="D301" s="156">
        <v>0.205</v>
      </c>
      <c r="E301" s="156">
        <v>0.02</v>
      </c>
      <c r="F301" s="157"/>
      <c r="G301" s="157"/>
      <c r="H301" s="157"/>
      <c r="I301" s="157"/>
      <c r="J301" s="157"/>
      <c r="K301" s="54"/>
      <c r="L301" s="160" t="s">
        <v>1588</v>
      </c>
      <c r="M301" s="156" t="s">
        <v>1588</v>
      </c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</row>
    <row r="302">
      <c r="A302" s="156">
        <v>7.290011018214E12</v>
      </c>
      <c r="B302" s="156" t="s">
        <v>1603</v>
      </c>
      <c r="C302" s="156">
        <v>0.073</v>
      </c>
      <c r="D302" s="156">
        <v>0.205</v>
      </c>
      <c r="E302" s="156">
        <v>0.02</v>
      </c>
      <c r="F302" s="157"/>
      <c r="G302" s="157"/>
      <c r="H302" s="157"/>
      <c r="I302" s="157"/>
      <c r="J302" s="157"/>
      <c r="K302" s="54"/>
      <c r="L302" s="160" t="s">
        <v>1603</v>
      </c>
      <c r="M302" s="156" t="s">
        <v>1603</v>
      </c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</row>
    <row r="303">
      <c r="A303" s="156">
        <v>7.290011017866E12</v>
      </c>
      <c r="B303" s="156" t="s">
        <v>819</v>
      </c>
      <c r="C303" s="156">
        <v>0.057</v>
      </c>
      <c r="D303" s="156">
        <v>0.14</v>
      </c>
      <c r="E303" s="156">
        <v>0.057</v>
      </c>
      <c r="F303" s="157"/>
      <c r="G303" s="157"/>
      <c r="H303" s="157"/>
      <c r="I303" s="157"/>
      <c r="J303" s="157"/>
      <c r="K303" s="54"/>
      <c r="L303" s="160" t="s">
        <v>819</v>
      </c>
      <c r="M303" s="156" t="s">
        <v>819</v>
      </c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</row>
    <row r="304">
      <c r="A304" s="156">
        <v>7.290011017873E12</v>
      </c>
      <c r="B304" s="156" t="s">
        <v>837</v>
      </c>
      <c r="C304" s="156">
        <v>0.057</v>
      </c>
      <c r="D304" s="156">
        <v>0.14</v>
      </c>
      <c r="E304" s="156">
        <v>0.057</v>
      </c>
      <c r="F304" s="157"/>
      <c r="G304" s="157"/>
      <c r="H304" s="157"/>
      <c r="I304" s="157"/>
      <c r="J304" s="157"/>
      <c r="K304" s="54"/>
      <c r="L304" s="160" t="s">
        <v>837</v>
      </c>
      <c r="M304" s="156" t="s">
        <v>837</v>
      </c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</row>
    <row r="305">
      <c r="A305" s="156">
        <v>7.290013585233E12</v>
      </c>
      <c r="B305" s="156" t="s">
        <v>4480</v>
      </c>
      <c r="C305" s="156">
        <v>0.057</v>
      </c>
      <c r="D305" s="156">
        <v>0.14</v>
      </c>
      <c r="E305" s="156">
        <v>0.057</v>
      </c>
      <c r="F305" s="157"/>
      <c r="G305" s="157"/>
      <c r="H305" s="157"/>
      <c r="I305" s="157"/>
      <c r="J305" s="157"/>
      <c r="K305" s="54"/>
      <c r="L305" s="156" t="s">
        <v>4480</v>
      </c>
      <c r="M305" s="156" t="s">
        <v>4480</v>
      </c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</row>
    <row r="306">
      <c r="A306" s="156">
        <v>7.290011018443E12</v>
      </c>
      <c r="B306" s="156" t="s">
        <v>1369</v>
      </c>
      <c r="C306" s="156">
        <v>0.057</v>
      </c>
      <c r="D306" s="156">
        <v>0.14</v>
      </c>
      <c r="E306" s="156">
        <v>0.057</v>
      </c>
      <c r="F306" s="157"/>
      <c r="G306" s="157"/>
      <c r="H306" s="157"/>
      <c r="I306" s="157"/>
      <c r="J306" s="157"/>
      <c r="K306" s="54"/>
      <c r="L306" s="160" t="s">
        <v>1369</v>
      </c>
      <c r="M306" s="156" t="s">
        <v>1369</v>
      </c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</row>
    <row r="307">
      <c r="A307" s="156">
        <v>3.179730011024E12</v>
      </c>
      <c r="B307" s="156" t="s">
        <v>3373</v>
      </c>
      <c r="C307" s="156">
        <v>0.057</v>
      </c>
      <c r="D307" s="156">
        <v>0.14</v>
      </c>
      <c r="E307" s="156">
        <v>0.057</v>
      </c>
      <c r="F307" s="157"/>
      <c r="G307" s="157"/>
      <c r="H307" s="157"/>
      <c r="I307" s="157"/>
      <c r="J307" s="157"/>
      <c r="K307" s="54"/>
      <c r="L307" s="160" t="s">
        <v>3373</v>
      </c>
      <c r="M307" s="156" t="s">
        <v>3373</v>
      </c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</row>
    <row r="308">
      <c r="A308" s="156">
        <v>7.290013585899E12</v>
      </c>
      <c r="B308" s="156" t="s">
        <v>4911</v>
      </c>
      <c r="C308" s="156">
        <v>0.073</v>
      </c>
      <c r="D308" s="156">
        <v>0.195</v>
      </c>
      <c r="E308" s="156">
        <v>0.057</v>
      </c>
      <c r="F308" s="157"/>
      <c r="G308" s="157"/>
      <c r="H308" s="157"/>
      <c r="I308" s="157"/>
      <c r="J308" s="157"/>
      <c r="K308" s="54"/>
      <c r="L308" s="160" t="s">
        <v>4911</v>
      </c>
      <c r="M308" s="156" t="s">
        <v>4911</v>
      </c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</row>
    <row r="309">
      <c r="A309" s="156">
        <v>7.290013586285E12</v>
      </c>
      <c r="B309" s="156" t="s">
        <v>4917</v>
      </c>
      <c r="C309" s="156">
        <v>0.073</v>
      </c>
      <c r="D309" s="156">
        <v>0.195</v>
      </c>
      <c r="E309" s="156">
        <v>0.057</v>
      </c>
      <c r="F309" s="157"/>
      <c r="G309" s="157"/>
      <c r="H309" s="157"/>
      <c r="I309" s="157"/>
      <c r="J309" s="157"/>
      <c r="K309" s="54"/>
      <c r="L309" s="160" t="s">
        <v>4917</v>
      </c>
      <c r="M309" s="156" t="s">
        <v>4917</v>
      </c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</row>
    <row r="310">
      <c r="A310" s="156">
        <v>5.902198160403E12</v>
      </c>
      <c r="B310" s="156" t="s">
        <v>6760</v>
      </c>
      <c r="C310" s="156">
        <v>0.053</v>
      </c>
      <c r="D310" s="156">
        <v>0.134</v>
      </c>
      <c r="E310" s="156">
        <v>0.053</v>
      </c>
      <c r="F310" s="157"/>
      <c r="G310" s="157"/>
      <c r="H310" s="157"/>
      <c r="I310" s="157"/>
      <c r="J310" s="157"/>
      <c r="K310" s="54"/>
      <c r="L310" s="160" t="s">
        <v>6760</v>
      </c>
      <c r="M310" s="156" t="s">
        <v>6760</v>
      </c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</row>
    <row r="311">
      <c r="A311" s="156">
        <v>7.290013153432E12</v>
      </c>
      <c r="B311" s="156" t="s">
        <v>3735</v>
      </c>
      <c r="C311" s="156">
        <v>0.07</v>
      </c>
      <c r="D311" s="156">
        <v>0.19</v>
      </c>
      <c r="E311" s="156">
        <v>0.053</v>
      </c>
      <c r="F311" s="157"/>
      <c r="G311" s="157"/>
      <c r="H311" s="157"/>
      <c r="I311" s="157"/>
      <c r="J311" s="157"/>
      <c r="K311" s="54"/>
      <c r="L311" s="160" t="s">
        <v>3735</v>
      </c>
      <c r="M311" s="156" t="s">
        <v>3735</v>
      </c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</row>
    <row r="312">
      <c r="A312" s="156">
        <v>7.290110110659E12</v>
      </c>
      <c r="B312" s="156" t="s">
        <v>4455</v>
      </c>
      <c r="C312" s="156">
        <v>0.057</v>
      </c>
      <c r="D312" s="156">
        <v>0.14</v>
      </c>
      <c r="E312" s="156">
        <v>0.057</v>
      </c>
      <c r="F312" s="157"/>
      <c r="G312" s="157"/>
      <c r="H312" s="157"/>
      <c r="I312" s="157"/>
      <c r="J312" s="157"/>
      <c r="K312" s="54"/>
      <c r="L312" s="156" t="s">
        <v>4455</v>
      </c>
      <c r="M312" s="156" t="s">
        <v>4455</v>
      </c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</row>
    <row r="313">
      <c r="A313" s="156">
        <v>7.290011015374E12</v>
      </c>
      <c r="B313" s="156" t="s">
        <v>3770</v>
      </c>
      <c r="C313" s="156">
        <v>0.07</v>
      </c>
      <c r="D313" s="156">
        <v>0.19</v>
      </c>
      <c r="E313" s="156">
        <v>0.053</v>
      </c>
      <c r="F313" s="157"/>
      <c r="G313" s="157"/>
      <c r="H313" s="157"/>
      <c r="I313" s="157"/>
      <c r="J313" s="157"/>
      <c r="K313" s="54"/>
      <c r="L313" s="160" t="s">
        <v>3770</v>
      </c>
      <c r="M313" s="156" t="s">
        <v>3770</v>
      </c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</row>
    <row r="314">
      <c r="A314" s="156">
        <v>8.712000050146E12</v>
      </c>
      <c r="B314" s="156" t="s">
        <v>1866</v>
      </c>
      <c r="C314" s="156">
        <v>0.06</v>
      </c>
      <c r="D314" s="156">
        <v>0.23</v>
      </c>
      <c r="E314" s="156">
        <v>0.06</v>
      </c>
      <c r="F314" s="157"/>
      <c r="G314" s="157"/>
      <c r="H314" s="157"/>
      <c r="I314" s="157"/>
      <c r="J314" s="157"/>
      <c r="K314" s="54"/>
      <c r="L314" s="160" t="s">
        <v>1866</v>
      </c>
      <c r="M314" s="156" t="s">
        <v>1866</v>
      </c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</row>
    <row r="315">
      <c r="A315" s="156">
        <v>7.29011011349E12</v>
      </c>
      <c r="B315" s="156" t="s">
        <v>1630</v>
      </c>
      <c r="C315" s="156">
        <v>0.073</v>
      </c>
      <c r="D315" s="156">
        <v>0.205</v>
      </c>
      <c r="E315" s="156">
        <v>0.073</v>
      </c>
      <c r="F315" s="157"/>
      <c r="G315" s="157"/>
      <c r="H315" s="157"/>
      <c r="I315" s="157"/>
      <c r="J315" s="157"/>
      <c r="K315" s="54"/>
      <c r="L315" s="160" t="s">
        <v>1630</v>
      </c>
      <c r="M315" s="156" t="s">
        <v>1630</v>
      </c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</row>
    <row r="316">
      <c r="A316" s="156">
        <v>7.613036286008E12</v>
      </c>
      <c r="B316" s="156" t="s">
        <v>3379</v>
      </c>
      <c r="C316" s="156">
        <v>0.05</v>
      </c>
      <c r="D316" s="156">
        <v>0.135</v>
      </c>
      <c r="E316" s="156">
        <v>0.05</v>
      </c>
      <c r="F316" s="157"/>
      <c r="G316" s="157"/>
      <c r="H316" s="157"/>
      <c r="I316" s="157"/>
      <c r="J316" s="157"/>
      <c r="K316" s="54"/>
      <c r="L316" s="160" t="s">
        <v>3379</v>
      </c>
      <c r="M316" s="156" t="s">
        <v>3379</v>
      </c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</row>
    <row r="317">
      <c r="A317" s="156">
        <v>7.613036280327E12</v>
      </c>
      <c r="B317" s="156" t="s">
        <v>3366</v>
      </c>
      <c r="C317" s="156">
        <v>0.05</v>
      </c>
      <c r="D317" s="156">
        <v>0.135</v>
      </c>
      <c r="E317" s="156">
        <v>0.05</v>
      </c>
      <c r="F317" s="157"/>
      <c r="G317" s="157"/>
      <c r="H317" s="157"/>
      <c r="I317" s="157"/>
      <c r="J317" s="157"/>
      <c r="K317" s="54"/>
      <c r="L317" s="160" t="s">
        <v>3366</v>
      </c>
      <c r="M317" s="156" t="s">
        <v>3366</v>
      </c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</row>
    <row r="318">
      <c r="A318" s="156">
        <v>8.001620015612E12</v>
      </c>
      <c r="B318" s="156" t="s">
        <v>4035</v>
      </c>
      <c r="C318" s="156">
        <v>0.055</v>
      </c>
      <c r="D318" s="156">
        <v>0.205</v>
      </c>
      <c r="E318" s="156">
        <v>0.055</v>
      </c>
      <c r="F318" s="157"/>
      <c r="G318" s="157"/>
      <c r="H318" s="157"/>
      <c r="I318" s="157"/>
      <c r="J318" s="157"/>
      <c r="K318" s="54"/>
      <c r="L318" s="160" t="s">
        <v>4035</v>
      </c>
      <c r="M318" s="156" t="s">
        <v>4035</v>
      </c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</row>
    <row r="319">
      <c r="A319" s="156">
        <v>8.001620015636E12</v>
      </c>
      <c r="B319" s="156" t="s">
        <v>4029</v>
      </c>
      <c r="C319" s="156">
        <v>0.055</v>
      </c>
      <c r="D319" s="156">
        <v>0.205</v>
      </c>
      <c r="E319" s="156">
        <v>0.055</v>
      </c>
      <c r="F319" s="157"/>
      <c r="G319" s="157"/>
      <c r="H319" s="157"/>
      <c r="I319" s="157"/>
      <c r="J319" s="157"/>
      <c r="K319" s="54"/>
      <c r="L319" s="160" t="s">
        <v>4029</v>
      </c>
      <c r="M319" s="156" t="s">
        <v>4029</v>
      </c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</row>
    <row r="320">
      <c r="A320" s="156">
        <v>7.290000072753E12</v>
      </c>
      <c r="B320" s="157" t="s">
        <v>6761</v>
      </c>
      <c r="C320" s="156">
        <v>0.09999999</v>
      </c>
      <c r="D320" s="156">
        <v>0.154</v>
      </c>
      <c r="E320" s="156">
        <v>0.087</v>
      </c>
      <c r="F320" s="157"/>
      <c r="G320" s="157"/>
      <c r="H320" s="157"/>
      <c r="I320" s="157"/>
      <c r="J320" s="157"/>
      <c r="K320" s="54"/>
      <c r="L320" s="157" t="s">
        <v>6761</v>
      </c>
      <c r="M320" s="159" t="s">
        <v>6761</v>
      </c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</row>
    <row r="321">
      <c r="A321" s="156">
        <v>7.290000174723E12</v>
      </c>
      <c r="B321" s="157" t="s">
        <v>6762</v>
      </c>
      <c r="C321" s="156">
        <v>0.085</v>
      </c>
      <c r="D321" s="156">
        <v>0.14</v>
      </c>
      <c r="E321" s="156">
        <v>0.09999999</v>
      </c>
      <c r="F321" s="157"/>
      <c r="G321" s="157"/>
      <c r="H321" s="157"/>
      <c r="I321" s="157"/>
      <c r="J321" s="157"/>
      <c r="K321" s="54"/>
      <c r="L321" s="157" t="s">
        <v>6762</v>
      </c>
      <c r="M321" s="157" t="s">
        <v>6762</v>
      </c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</row>
    <row r="322">
      <c r="A322" s="156">
        <v>7.290000176062E12</v>
      </c>
      <c r="B322" s="157" t="s">
        <v>6763</v>
      </c>
      <c r="C322" s="156">
        <v>0.09999999</v>
      </c>
      <c r="D322" s="156">
        <v>0.15</v>
      </c>
      <c r="E322" s="156">
        <v>0.02</v>
      </c>
      <c r="F322" s="157"/>
      <c r="G322" s="157"/>
      <c r="H322" s="157"/>
      <c r="I322" s="157"/>
      <c r="J322" s="157"/>
      <c r="K322" s="54"/>
      <c r="L322" s="157" t="s">
        <v>6763</v>
      </c>
      <c r="M322" s="159" t="s">
        <v>6763</v>
      </c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</row>
    <row r="323">
      <c r="A323" s="156">
        <v>7.29000017642E12</v>
      </c>
      <c r="B323" s="157" t="s">
        <v>6764</v>
      </c>
      <c r="C323" s="156">
        <v>0.09</v>
      </c>
      <c r="D323" s="156">
        <v>0.174</v>
      </c>
      <c r="E323" s="156">
        <v>0.093</v>
      </c>
      <c r="F323" s="157"/>
      <c r="G323" s="157"/>
      <c r="H323" s="157"/>
      <c r="I323" s="157"/>
      <c r="J323" s="157"/>
      <c r="K323" s="54"/>
      <c r="L323" s="157" t="s">
        <v>6764</v>
      </c>
      <c r="M323" s="159" t="s">
        <v>6764</v>
      </c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</row>
    <row r="324">
      <c r="A324" s="156">
        <v>7.290005201882E12</v>
      </c>
      <c r="B324" s="157" t="s">
        <v>6765</v>
      </c>
      <c r="C324" s="156">
        <v>0.12</v>
      </c>
      <c r="D324" s="156">
        <v>0.18</v>
      </c>
      <c r="E324" s="156">
        <v>0.02</v>
      </c>
      <c r="F324" s="157"/>
      <c r="G324" s="157"/>
      <c r="H324" s="157"/>
      <c r="I324" s="157"/>
      <c r="J324" s="157"/>
      <c r="K324" s="54"/>
      <c r="L324" s="157" t="s">
        <v>6765</v>
      </c>
      <c r="M324" s="159" t="s">
        <v>6765</v>
      </c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</row>
    <row r="325">
      <c r="A325" s="156">
        <v>7.29000034526E12</v>
      </c>
      <c r="B325" s="157" t="s">
        <v>6766</v>
      </c>
      <c r="C325" s="156">
        <v>0.145</v>
      </c>
      <c r="D325" s="156">
        <v>0.07</v>
      </c>
      <c r="E325" s="156">
        <v>0.065</v>
      </c>
      <c r="F325" s="157"/>
      <c r="G325" s="157"/>
      <c r="H325" s="157"/>
      <c r="I325" s="157"/>
      <c r="J325" s="157"/>
      <c r="K325" s="54"/>
      <c r="L325" s="157" t="s">
        <v>6766</v>
      </c>
      <c r="M325" s="159" t="s">
        <v>6766</v>
      </c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</row>
    <row r="326">
      <c r="A326" s="156">
        <v>7.290000347738E12</v>
      </c>
      <c r="B326" s="157" t="s">
        <v>6767</v>
      </c>
      <c r="C326" s="156">
        <v>0.068</v>
      </c>
      <c r="D326" s="156">
        <v>0.144</v>
      </c>
      <c r="E326" s="156">
        <v>0.064</v>
      </c>
      <c r="F326" s="157"/>
      <c r="G326" s="157"/>
      <c r="H326" s="157"/>
      <c r="I326" s="157"/>
      <c r="J326" s="157"/>
      <c r="K326" s="54"/>
      <c r="L326" s="157" t="s">
        <v>6767</v>
      </c>
      <c r="M326" s="159" t="s">
        <v>6767</v>
      </c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</row>
    <row r="327">
      <c r="A327" s="156">
        <v>7.290000347752E12</v>
      </c>
      <c r="B327" s="157" t="s">
        <v>6768</v>
      </c>
      <c r="C327" s="156">
        <v>0.144</v>
      </c>
      <c r="D327" s="156">
        <v>0.0685</v>
      </c>
      <c r="E327" s="156">
        <v>0.064</v>
      </c>
      <c r="F327" s="157"/>
      <c r="G327" s="157"/>
      <c r="H327" s="157"/>
      <c r="I327" s="157"/>
      <c r="J327" s="157"/>
      <c r="K327" s="54"/>
      <c r="L327" s="157" t="s">
        <v>6768</v>
      </c>
      <c r="M327" s="159" t="s">
        <v>6768</v>
      </c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</row>
    <row r="328">
      <c r="A328" s="156">
        <v>7.290002771111E12</v>
      </c>
      <c r="B328" s="157" t="s">
        <v>6769</v>
      </c>
      <c r="C328" s="156">
        <v>0.11</v>
      </c>
      <c r="D328" s="156">
        <v>0.15</v>
      </c>
      <c r="E328" s="156">
        <v>0.057</v>
      </c>
      <c r="F328" s="157"/>
      <c r="G328" s="157"/>
      <c r="H328" s="157"/>
      <c r="I328" s="157"/>
      <c r="J328" s="157"/>
      <c r="K328" s="54"/>
      <c r="L328" s="157" t="s">
        <v>6769</v>
      </c>
      <c r="M328" s="159" t="s">
        <v>6769</v>
      </c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</row>
    <row r="329">
      <c r="A329" s="156">
        <v>8.714599513828E12</v>
      </c>
      <c r="B329" s="156" t="s">
        <v>6770</v>
      </c>
      <c r="C329" s="156">
        <v>0.061</v>
      </c>
      <c r="D329" s="156">
        <v>0.09999999</v>
      </c>
      <c r="E329" s="156">
        <v>0.02</v>
      </c>
      <c r="F329" s="157"/>
      <c r="G329" s="157"/>
      <c r="H329" s="157"/>
      <c r="I329" s="157"/>
      <c r="J329" s="157"/>
      <c r="K329" s="54"/>
      <c r="L329" s="160" t="s">
        <v>6770</v>
      </c>
      <c r="M329" s="156" t="s">
        <v>6770</v>
      </c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</row>
    <row r="330">
      <c r="A330" s="156">
        <v>7.290105360328E12</v>
      </c>
      <c r="B330" s="156" t="s">
        <v>1269</v>
      </c>
      <c r="C330" s="156">
        <v>0.08</v>
      </c>
      <c r="D330" s="156">
        <v>0.195</v>
      </c>
      <c r="E330" s="156">
        <v>0.03</v>
      </c>
      <c r="F330" s="157"/>
      <c r="G330" s="157"/>
      <c r="H330" s="157"/>
      <c r="I330" s="157"/>
      <c r="J330" s="157"/>
      <c r="K330" s="54"/>
      <c r="L330" s="160" t="s">
        <v>1269</v>
      </c>
      <c r="M330" s="156" t="s">
        <v>1269</v>
      </c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</row>
    <row r="331">
      <c r="A331" s="156">
        <v>7.290003643387E12</v>
      </c>
      <c r="B331" s="157" t="s">
        <v>6771</v>
      </c>
      <c r="C331" s="156">
        <v>0.09999999</v>
      </c>
      <c r="D331" s="156">
        <v>0.16</v>
      </c>
      <c r="E331" s="156">
        <v>0.057</v>
      </c>
      <c r="F331" s="157"/>
      <c r="G331" s="157"/>
      <c r="H331" s="157"/>
      <c r="I331" s="157"/>
      <c r="J331" s="157"/>
      <c r="K331" s="54"/>
      <c r="L331" s="157" t="s">
        <v>6771</v>
      </c>
      <c r="M331" s="159" t="s">
        <v>6771</v>
      </c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</row>
    <row r="332">
      <c r="A332" s="156">
        <v>7.290106525399E12</v>
      </c>
      <c r="B332" s="156" t="s">
        <v>1229</v>
      </c>
      <c r="C332" s="156">
        <v>0.08</v>
      </c>
      <c r="D332" s="156">
        <v>0.195</v>
      </c>
      <c r="E332" s="156">
        <v>0.03</v>
      </c>
      <c r="F332" s="157"/>
      <c r="G332" s="157"/>
      <c r="H332" s="157"/>
      <c r="I332" s="157"/>
      <c r="J332" s="157"/>
      <c r="K332" s="54"/>
      <c r="L332" s="160" t="s">
        <v>1229</v>
      </c>
      <c r="M332" s="156" t="s">
        <v>1229</v>
      </c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</row>
    <row r="333">
      <c r="A333" s="156">
        <v>7.290107953559E12</v>
      </c>
      <c r="B333" s="156" t="s">
        <v>1243</v>
      </c>
      <c r="C333" s="156">
        <v>0.11</v>
      </c>
      <c r="D333" s="156">
        <v>0.18</v>
      </c>
      <c r="E333" s="156">
        <v>0.025</v>
      </c>
      <c r="F333" s="157"/>
      <c r="G333" s="157"/>
      <c r="H333" s="157"/>
      <c r="I333" s="157"/>
      <c r="J333" s="157"/>
      <c r="K333" s="54"/>
      <c r="L333" s="156" t="s">
        <v>1243</v>
      </c>
      <c r="M333" s="156" t="s">
        <v>1243</v>
      </c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</row>
    <row r="334">
      <c r="A334" s="156">
        <v>7.290107956932E12</v>
      </c>
      <c r="B334" s="156" t="s">
        <v>1236</v>
      </c>
      <c r="C334" s="156">
        <v>0.08</v>
      </c>
      <c r="D334" s="156">
        <v>0.195</v>
      </c>
      <c r="E334" s="156">
        <v>0.03</v>
      </c>
      <c r="F334" s="157"/>
      <c r="G334" s="157"/>
      <c r="H334" s="157"/>
      <c r="I334" s="157"/>
      <c r="J334" s="157"/>
      <c r="K334" s="54"/>
      <c r="L334" s="156" t="s">
        <v>1236</v>
      </c>
      <c r="M334" s="156" t="s">
        <v>1236</v>
      </c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</row>
    <row r="335">
      <c r="A335" s="156">
        <v>7.290110566623E12</v>
      </c>
      <c r="B335" s="156" t="s">
        <v>1219</v>
      </c>
      <c r="C335" s="156">
        <v>0.08</v>
      </c>
      <c r="D335" s="156">
        <v>0.195</v>
      </c>
      <c r="E335" s="156">
        <v>0.03</v>
      </c>
      <c r="F335" s="157"/>
      <c r="G335" s="157"/>
      <c r="H335" s="157"/>
      <c r="I335" s="157"/>
      <c r="J335" s="157"/>
      <c r="K335" s="54"/>
      <c r="L335" s="160" t="s">
        <v>1219</v>
      </c>
      <c r="M335" s="156" t="s">
        <v>1219</v>
      </c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</row>
    <row r="336">
      <c r="A336" s="156">
        <v>7.29001406638E12</v>
      </c>
      <c r="B336" s="156" t="s">
        <v>2345</v>
      </c>
      <c r="C336" s="156">
        <v>0.075</v>
      </c>
      <c r="D336" s="156">
        <v>0.195</v>
      </c>
      <c r="E336" s="156">
        <v>0.03</v>
      </c>
      <c r="F336" s="157"/>
      <c r="G336" s="157"/>
      <c r="H336" s="157"/>
      <c r="I336" s="157"/>
      <c r="J336" s="157"/>
      <c r="K336" s="54"/>
      <c r="L336" s="160" t="s">
        <v>2345</v>
      </c>
      <c r="M336" s="156" t="s">
        <v>2345</v>
      </c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</row>
    <row r="337">
      <c r="A337" s="156">
        <v>7.290014066373E12</v>
      </c>
      <c r="B337" s="156" t="s">
        <v>2353</v>
      </c>
      <c r="C337" s="156">
        <v>0.075</v>
      </c>
      <c r="D337" s="156">
        <v>0.195</v>
      </c>
      <c r="E337" s="156">
        <v>0.03</v>
      </c>
      <c r="F337" s="157"/>
      <c r="G337" s="157"/>
      <c r="H337" s="157"/>
      <c r="I337" s="157"/>
      <c r="J337" s="157"/>
      <c r="K337" s="54"/>
      <c r="L337" s="160" t="s">
        <v>2353</v>
      </c>
      <c r="M337" s="156" t="s">
        <v>2353</v>
      </c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</row>
    <row r="338">
      <c r="A338" s="156">
        <v>7.290112344427E12</v>
      </c>
      <c r="B338" s="156" t="s">
        <v>1259</v>
      </c>
      <c r="C338" s="156">
        <v>0.08</v>
      </c>
      <c r="D338" s="156">
        <v>0.13</v>
      </c>
      <c r="E338" s="156">
        <v>0.057</v>
      </c>
      <c r="F338" s="157"/>
      <c r="G338" s="157"/>
      <c r="H338" s="157"/>
      <c r="I338" s="157"/>
      <c r="J338" s="157"/>
      <c r="K338" s="54"/>
      <c r="L338" s="160" t="s">
        <v>1259</v>
      </c>
      <c r="M338" s="156" t="s">
        <v>1259</v>
      </c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</row>
    <row r="339">
      <c r="A339" s="156">
        <v>8.003753158587E12</v>
      </c>
      <c r="B339" s="156" t="s">
        <v>1907</v>
      </c>
      <c r="C339" s="156">
        <v>0.09</v>
      </c>
      <c r="D339" s="156">
        <v>0.195</v>
      </c>
      <c r="E339" s="156">
        <v>0.13</v>
      </c>
      <c r="F339" s="157"/>
      <c r="G339" s="157"/>
      <c r="H339" s="157"/>
      <c r="I339" s="157"/>
      <c r="J339" s="157"/>
      <c r="K339" s="54"/>
      <c r="L339" s="160" t="s">
        <v>1907</v>
      </c>
      <c r="M339" s="156" t="s">
        <v>1907</v>
      </c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</row>
    <row r="340">
      <c r="A340" s="156">
        <v>8.003753158556E12</v>
      </c>
      <c r="B340" s="156" t="s">
        <v>6772</v>
      </c>
      <c r="C340" s="156">
        <v>0.09</v>
      </c>
      <c r="D340" s="156">
        <v>0.195</v>
      </c>
      <c r="E340" s="156">
        <v>0.13</v>
      </c>
      <c r="F340" s="157"/>
      <c r="G340" s="157"/>
      <c r="H340" s="157"/>
      <c r="I340" s="157"/>
      <c r="J340" s="157"/>
      <c r="K340" s="54"/>
      <c r="L340" s="160" t="s">
        <v>6772</v>
      </c>
      <c r="M340" s="156" t="s">
        <v>6772</v>
      </c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</row>
    <row r="341">
      <c r="A341" s="156">
        <v>8.39762000658E11</v>
      </c>
      <c r="B341" s="156" t="s">
        <v>1915</v>
      </c>
      <c r="C341" s="156">
        <v>0.08</v>
      </c>
      <c r="D341" s="156">
        <v>0.26</v>
      </c>
      <c r="E341" s="156">
        <v>0.08</v>
      </c>
      <c r="F341" s="157"/>
      <c r="G341" s="157"/>
      <c r="H341" s="157"/>
      <c r="I341" s="157"/>
      <c r="J341" s="157"/>
      <c r="K341" s="54"/>
      <c r="L341" s="160" t="s">
        <v>1915</v>
      </c>
      <c r="M341" s="156" t="s">
        <v>1915</v>
      </c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</row>
    <row r="342">
      <c r="A342" s="156">
        <v>8.39762000641E11</v>
      </c>
      <c r="B342" s="156" t="s">
        <v>1928</v>
      </c>
      <c r="C342" s="156">
        <v>0.08</v>
      </c>
      <c r="D342" s="156">
        <v>0.26</v>
      </c>
      <c r="E342" s="156">
        <v>0.08</v>
      </c>
      <c r="F342" s="157"/>
      <c r="G342" s="157"/>
      <c r="H342" s="157"/>
      <c r="I342" s="157"/>
      <c r="J342" s="157"/>
      <c r="K342" s="54"/>
      <c r="L342" s="156" t="s">
        <v>1928</v>
      </c>
      <c r="M342" s="156" t="s">
        <v>1928</v>
      </c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</row>
    <row r="343">
      <c r="A343" s="156">
        <v>5.904941751302E12</v>
      </c>
      <c r="B343" s="156" t="s">
        <v>459</v>
      </c>
      <c r="C343" s="156">
        <v>0.053</v>
      </c>
      <c r="D343" s="156">
        <v>0.134</v>
      </c>
      <c r="E343" s="156">
        <v>0.053</v>
      </c>
      <c r="F343" s="157"/>
      <c r="G343" s="157"/>
      <c r="H343" s="157"/>
      <c r="I343" s="157"/>
      <c r="J343" s="157"/>
      <c r="K343" s="54"/>
      <c r="L343" s="160" t="s">
        <v>459</v>
      </c>
      <c r="M343" s="156" t="s">
        <v>459</v>
      </c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</row>
    <row r="344">
      <c r="A344" s="156">
        <v>7.290002871477E12</v>
      </c>
      <c r="B344" s="157" t="s">
        <v>6773</v>
      </c>
      <c r="C344" s="156">
        <v>0.08</v>
      </c>
      <c r="D344" s="156">
        <v>0.3</v>
      </c>
      <c r="E344" s="156">
        <v>0.08</v>
      </c>
      <c r="F344" s="157"/>
      <c r="G344" s="157"/>
      <c r="H344" s="157"/>
      <c r="I344" s="157"/>
      <c r="J344" s="157"/>
      <c r="K344" s="54"/>
      <c r="L344" s="157" t="s">
        <v>6773</v>
      </c>
      <c r="M344" s="159" t="s">
        <v>6773</v>
      </c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</row>
    <row r="345">
      <c r="A345" s="156">
        <v>7.29000287146E12</v>
      </c>
      <c r="B345" s="157" t="s">
        <v>6774</v>
      </c>
      <c r="C345" s="156">
        <v>0.08</v>
      </c>
      <c r="D345" s="156">
        <v>0.3</v>
      </c>
      <c r="E345" s="156">
        <v>0.08</v>
      </c>
      <c r="F345" s="157"/>
      <c r="G345" s="157"/>
      <c r="H345" s="157"/>
      <c r="I345" s="157"/>
      <c r="J345" s="157"/>
      <c r="K345" s="54"/>
      <c r="L345" s="157" t="s">
        <v>6774</v>
      </c>
      <c r="M345" s="159" t="s">
        <v>6774</v>
      </c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</row>
    <row r="346">
      <c r="A346" s="156">
        <v>7.290002871446E12</v>
      </c>
      <c r="B346" s="157" t="s">
        <v>6775</v>
      </c>
      <c r="C346" s="156">
        <v>0.08</v>
      </c>
      <c r="D346" s="156">
        <v>0.3</v>
      </c>
      <c r="E346" s="156">
        <v>0.08</v>
      </c>
      <c r="F346" s="157"/>
      <c r="G346" s="157"/>
      <c r="H346" s="157"/>
      <c r="I346" s="157"/>
      <c r="J346" s="157"/>
      <c r="K346" s="54"/>
      <c r="L346" s="157" t="s">
        <v>6775</v>
      </c>
      <c r="M346" s="159" t="s">
        <v>6775</v>
      </c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</row>
    <row r="347">
      <c r="A347" s="156">
        <v>7.290005604133E12</v>
      </c>
      <c r="B347" s="157" t="s">
        <v>6776</v>
      </c>
      <c r="C347" s="156">
        <v>0.08</v>
      </c>
      <c r="D347" s="156">
        <v>0.3</v>
      </c>
      <c r="E347" s="156">
        <v>0.08</v>
      </c>
      <c r="F347" s="157"/>
      <c r="G347" s="157"/>
      <c r="H347" s="157"/>
      <c r="I347" s="157"/>
      <c r="J347" s="157"/>
      <c r="K347" s="54"/>
      <c r="L347" s="157" t="s">
        <v>6776</v>
      </c>
      <c r="M347" s="159" t="s">
        <v>6776</v>
      </c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</row>
    <row r="348">
      <c r="A348" s="156">
        <v>7.290003667369E12</v>
      </c>
      <c r="B348" s="157" t="s">
        <v>6777</v>
      </c>
      <c r="C348" s="156">
        <v>0.08</v>
      </c>
      <c r="D348" s="156">
        <v>0.3</v>
      </c>
      <c r="E348" s="156">
        <v>0.08</v>
      </c>
      <c r="F348" s="157"/>
      <c r="G348" s="157"/>
      <c r="H348" s="157"/>
      <c r="I348" s="157"/>
      <c r="J348" s="157"/>
      <c r="K348" s="54"/>
      <c r="L348" s="157" t="s">
        <v>6777</v>
      </c>
      <c r="M348" s="159" t="s">
        <v>6777</v>
      </c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</row>
    <row r="349">
      <c r="A349" s="156">
        <v>7.290004423353E12</v>
      </c>
      <c r="B349" s="157" t="s">
        <v>6778</v>
      </c>
      <c r="C349" s="156">
        <v>0.08</v>
      </c>
      <c r="D349" s="156">
        <v>0.3</v>
      </c>
      <c r="E349" s="156">
        <v>0.08</v>
      </c>
      <c r="F349" s="157"/>
      <c r="G349" s="157"/>
      <c r="H349" s="157"/>
      <c r="I349" s="157"/>
      <c r="J349" s="157"/>
      <c r="K349" s="54"/>
      <c r="L349" s="157" t="s">
        <v>6778</v>
      </c>
      <c r="M349" s="159" t="s">
        <v>6778</v>
      </c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</row>
    <row r="350">
      <c r="A350" s="156">
        <v>7.290001594391E12</v>
      </c>
      <c r="B350" s="157" t="s">
        <v>6779</v>
      </c>
      <c r="C350" s="156">
        <v>0.06</v>
      </c>
      <c r="D350" s="156">
        <v>0.193</v>
      </c>
      <c r="E350" s="156">
        <v>0.06</v>
      </c>
      <c r="F350" s="157"/>
      <c r="G350" s="157"/>
      <c r="H350" s="157"/>
      <c r="I350" s="157"/>
      <c r="J350" s="157"/>
      <c r="K350" s="54"/>
      <c r="L350" s="157" t="s">
        <v>6779</v>
      </c>
      <c r="M350" s="159" t="s">
        <v>6779</v>
      </c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</row>
    <row r="351">
      <c r="A351" s="156">
        <v>7.290001594384E12</v>
      </c>
      <c r="B351" s="157" t="s">
        <v>6780</v>
      </c>
      <c r="C351" s="156">
        <v>0.06</v>
      </c>
      <c r="D351" s="156">
        <v>0.193</v>
      </c>
      <c r="E351" s="156">
        <v>0.06</v>
      </c>
      <c r="F351" s="157"/>
      <c r="G351" s="157"/>
      <c r="H351" s="157"/>
      <c r="I351" s="157"/>
      <c r="J351" s="157"/>
      <c r="K351" s="54"/>
      <c r="L351" s="157" t="s">
        <v>6780</v>
      </c>
      <c r="M351" s="159" t="s">
        <v>6780</v>
      </c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</row>
    <row r="352">
      <c r="A352" s="156">
        <v>7.290001594377E12</v>
      </c>
      <c r="B352" s="157" t="s">
        <v>6781</v>
      </c>
      <c r="C352" s="156">
        <v>0.06</v>
      </c>
      <c r="D352" s="156">
        <v>0.193</v>
      </c>
      <c r="E352" s="156">
        <v>0.06</v>
      </c>
      <c r="F352" s="157"/>
      <c r="G352" s="157"/>
      <c r="H352" s="157"/>
      <c r="I352" s="157"/>
      <c r="J352" s="157"/>
      <c r="K352" s="54"/>
      <c r="L352" s="157" t="s">
        <v>6781</v>
      </c>
      <c r="M352" s="159" t="s">
        <v>6781</v>
      </c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</row>
    <row r="353">
      <c r="A353" s="156">
        <v>7.290002331162E12</v>
      </c>
      <c r="B353" s="157" t="s">
        <v>6782</v>
      </c>
      <c r="C353" s="156">
        <v>0.087</v>
      </c>
      <c r="D353" s="156">
        <v>0.34</v>
      </c>
      <c r="E353" s="156">
        <v>0.085</v>
      </c>
      <c r="F353" s="157"/>
      <c r="G353" s="157"/>
      <c r="H353" s="157"/>
      <c r="I353" s="157"/>
      <c r="J353" s="157"/>
      <c r="K353" s="54"/>
      <c r="L353" s="157" t="s">
        <v>6782</v>
      </c>
      <c r="M353" s="159" t="s">
        <v>6782</v>
      </c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</row>
    <row r="354">
      <c r="A354" s="156">
        <v>7.290002331025E12</v>
      </c>
      <c r="B354" s="157" t="s">
        <v>6783</v>
      </c>
      <c r="C354" s="156">
        <v>0.065</v>
      </c>
      <c r="D354" s="156">
        <v>0.23</v>
      </c>
      <c r="E354" s="156">
        <v>0.065</v>
      </c>
      <c r="F354" s="157"/>
      <c r="G354" s="157"/>
      <c r="H354" s="157"/>
      <c r="I354" s="157"/>
      <c r="J354" s="157"/>
      <c r="K354" s="54"/>
      <c r="L354" s="157" t="s">
        <v>6783</v>
      </c>
      <c r="M354" s="159" t="s">
        <v>6783</v>
      </c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</row>
    <row r="355">
      <c r="A355" s="156">
        <v>7.290002331148E12</v>
      </c>
      <c r="B355" s="157" t="s">
        <v>6784</v>
      </c>
      <c r="C355" s="156">
        <v>0.095</v>
      </c>
      <c r="D355" s="156">
        <v>0.3</v>
      </c>
      <c r="E355" s="156">
        <v>0.095</v>
      </c>
      <c r="F355" s="157"/>
      <c r="G355" s="157"/>
      <c r="H355" s="157"/>
      <c r="I355" s="157"/>
      <c r="J355" s="157"/>
      <c r="K355" s="54"/>
      <c r="L355" s="157" t="s">
        <v>6784</v>
      </c>
      <c r="M355" s="159" t="s">
        <v>6784</v>
      </c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</row>
    <row r="356">
      <c r="A356" s="156">
        <v>7.290002331117E12</v>
      </c>
      <c r="B356" s="157" t="s">
        <v>6785</v>
      </c>
      <c r="C356" s="156">
        <v>0.095</v>
      </c>
      <c r="D356" s="156">
        <v>0.3</v>
      </c>
      <c r="E356" s="156">
        <v>0.095</v>
      </c>
      <c r="F356" s="157"/>
      <c r="G356" s="157"/>
      <c r="H356" s="157"/>
      <c r="I356" s="157"/>
      <c r="J356" s="157"/>
      <c r="K356" s="54"/>
      <c r="L356" s="157" t="s">
        <v>6785</v>
      </c>
      <c r="M356" s="159" t="s">
        <v>6785</v>
      </c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</row>
    <row r="357">
      <c r="A357" s="156">
        <v>7.290002331179E12</v>
      </c>
      <c r="B357" s="157" t="s">
        <v>6786</v>
      </c>
      <c r="C357" s="156">
        <v>0.095</v>
      </c>
      <c r="D357" s="156">
        <v>0.3</v>
      </c>
      <c r="E357" s="156">
        <v>0.095</v>
      </c>
      <c r="F357" s="157"/>
      <c r="G357" s="157"/>
      <c r="H357" s="157"/>
      <c r="I357" s="157"/>
      <c r="J357" s="157"/>
      <c r="K357" s="54"/>
      <c r="L357" s="157" t="s">
        <v>6786</v>
      </c>
      <c r="M357" s="159" t="s">
        <v>6786</v>
      </c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</row>
    <row r="358">
      <c r="A358" s="156">
        <v>7.290002331711E12</v>
      </c>
      <c r="B358" s="157" t="s">
        <v>6787</v>
      </c>
      <c r="C358" s="156">
        <v>0.068</v>
      </c>
      <c r="D358" s="156">
        <v>0.2</v>
      </c>
      <c r="E358" s="156">
        <v>0.068</v>
      </c>
      <c r="F358" s="157"/>
      <c r="G358" s="157"/>
      <c r="H358" s="157"/>
      <c r="I358" s="157"/>
      <c r="J358" s="157"/>
      <c r="K358" s="54"/>
      <c r="L358" s="157" t="s">
        <v>6787</v>
      </c>
      <c r="M358" s="159" t="s">
        <v>6787</v>
      </c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</row>
    <row r="359">
      <c r="A359" s="156">
        <v>7.290002331155E12</v>
      </c>
      <c r="B359" s="157" t="s">
        <v>6787</v>
      </c>
      <c r="C359" s="156">
        <v>0.068</v>
      </c>
      <c r="D359" s="156">
        <v>0.2</v>
      </c>
      <c r="E359" s="156">
        <v>0.068</v>
      </c>
      <c r="F359" s="157"/>
      <c r="G359" s="157"/>
      <c r="H359" s="157"/>
      <c r="I359" s="157"/>
      <c r="J359" s="157"/>
      <c r="K359" s="54"/>
      <c r="L359" s="157" t="s">
        <v>6787</v>
      </c>
      <c r="M359" s="159" t="s">
        <v>6787</v>
      </c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</row>
    <row r="360">
      <c r="A360" s="156">
        <v>7.290002331124E12</v>
      </c>
      <c r="B360" s="157" t="s">
        <v>6788</v>
      </c>
      <c r="C360" s="156">
        <v>0.068</v>
      </c>
      <c r="D360" s="156">
        <v>0.2</v>
      </c>
      <c r="E360" s="156">
        <v>0.068</v>
      </c>
      <c r="F360" s="157"/>
      <c r="G360" s="157"/>
      <c r="H360" s="157"/>
      <c r="I360" s="157"/>
      <c r="J360" s="157"/>
      <c r="K360" s="54"/>
      <c r="L360" s="157" t="s">
        <v>6788</v>
      </c>
      <c r="M360" s="159" t="s">
        <v>6788</v>
      </c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</row>
    <row r="361">
      <c r="A361" s="156">
        <v>7.290001594155E12</v>
      </c>
      <c r="B361" s="157" t="s">
        <v>6789</v>
      </c>
      <c r="C361" s="156">
        <v>0.065</v>
      </c>
      <c r="D361" s="156">
        <v>0.24</v>
      </c>
      <c r="E361" s="156">
        <v>0.065</v>
      </c>
      <c r="F361" s="157"/>
      <c r="G361" s="157"/>
      <c r="H361" s="157"/>
      <c r="I361" s="157"/>
      <c r="J361" s="157"/>
      <c r="K361" s="54"/>
      <c r="L361" s="157" t="s">
        <v>6789</v>
      </c>
      <c r="M361" s="159" t="s">
        <v>6789</v>
      </c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</row>
    <row r="362">
      <c r="A362" s="156">
        <v>7.290008909853E12</v>
      </c>
      <c r="B362" s="157" t="s">
        <v>6790</v>
      </c>
      <c r="C362" s="156">
        <v>0.065</v>
      </c>
      <c r="D362" s="156">
        <v>0.24</v>
      </c>
      <c r="E362" s="156">
        <v>0.065</v>
      </c>
      <c r="F362" s="157"/>
      <c r="G362" s="157"/>
      <c r="H362" s="157"/>
      <c r="I362" s="157"/>
      <c r="J362" s="157"/>
      <c r="K362" s="54"/>
      <c r="L362" s="157" t="s">
        <v>6790</v>
      </c>
      <c r="M362" s="159" t="s">
        <v>6790</v>
      </c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</row>
    <row r="363">
      <c r="A363" s="156">
        <v>7.290001594186E12</v>
      </c>
      <c r="B363" s="157" t="s">
        <v>6791</v>
      </c>
      <c r="C363" s="156">
        <v>0.065</v>
      </c>
      <c r="D363" s="156">
        <v>0.24</v>
      </c>
      <c r="E363" s="156">
        <v>0.065</v>
      </c>
      <c r="F363" s="157"/>
      <c r="G363" s="157"/>
      <c r="H363" s="157"/>
      <c r="I363" s="157"/>
      <c r="J363" s="157"/>
      <c r="K363" s="54"/>
      <c r="L363" s="157" t="s">
        <v>6791</v>
      </c>
      <c r="M363" s="159" t="s">
        <v>6791</v>
      </c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</row>
    <row r="364">
      <c r="A364" s="156">
        <v>7.290001594179E12</v>
      </c>
      <c r="B364" s="157" t="s">
        <v>6792</v>
      </c>
      <c r="C364" s="156">
        <v>0.065</v>
      </c>
      <c r="D364" s="156">
        <v>0.24</v>
      </c>
      <c r="E364" s="156">
        <v>0.065</v>
      </c>
      <c r="F364" s="157"/>
      <c r="G364" s="157"/>
      <c r="H364" s="157"/>
      <c r="I364" s="157"/>
      <c r="J364" s="157"/>
      <c r="K364" s="54"/>
      <c r="L364" s="157" t="s">
        <v>6792</v>
      </c>
      <c r="M364" s="159" t="s">
        <v>6792</v>
      </c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</row>
    <row r="365">
      <c r="A365" s="156">
        <v>7.290001594025E12</v>
      </c>
      <c r="B365" s="157" t="s">
        <v>6793</v>
      </c>
      <c r="C365" s="156">
        <v>0.058</v>
      </c>
      <c r="D365" s="156">
        <v>0.212</v>
      </c>
      <c r="E365" s="156">
        <v>0.058</v>
      </c>
      <c r="F365" s="157"/>
      <c r="G365" s="157"/>
      <c r="H365" s="157"/>
      <c r="I365" s="157"/>
      <c r="J365" s="157"/>
      <c r="K365" s="54"/>
      <c r="L365" s="157" t="s">
        <v>6793</v>
      </c>
      <c r="M365" s="159" t="s">
        <v>6793</v>
      </c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</row>
    <row r="366">
      <c r="A366" s="156">
        <v>7.290005605895E12</v>
      </c>
      <c r="B366" s="157" t="s">
        <v>6794</v>
      </c>
      <c r="C366" s="156">
        <v>0.065</v>
      </c>
      <c r="D366" s="156">
        <v>0.24</v>
      </c>
      <c r="E366" s="156">
        <v>0.065</v>
      </c>
      <c r="F366" s="157"/>
      <c r="G366" s="157"/>
      <c r="H366" s="157"/>
      <c r="I366" s="157"/>
      <c r="J366" s="157"/>
      <c r="K366" s="54"/>
      <c r="L366" s="157" t="s">
        <v>6794</v>
      </c>
      <c r="M366" s="159" t="s">
        <v>6794</v>
      </c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</row>
    <row r="367">
      <c r="A367" s="156">
        <v>7.290000284316E12</v>
      </c>
      <c r="B367" s="157" t="s">
        <v>6795</v>
      </c>
      <c r="C367" s="156">
        <v>0.095</v>
      </c>
      <c r="D367" s="156">
        <v>0.333</v>
      </c>
      <c r="E367" s="156">
        <v>0.095</v>
      </c>
      <c r="F367" s="157"/>
      <c r="G367" s="157"/>
      <c r="H367" s="157"/>
      <c r="I367" s="157"/>
      <c r="J367" s="157"/>
      <c r="K367" s="54"/>
      <c r="L367" s="157" t="s">
        <v>6795</v>
      </c>
      <c r="M367" s="159" t="s">
        <v>6795</v>
      </c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</row>
    <row r="368">
      <c r="A368" s="156">
        <v>7.29000890986E12</v>
      </c>
      <c r="B368" s="157" t="s">
        <v>6796</v>
      </c>
      <c r="C368" s="156">
        <v>0.095</v>
      </c>
      <c r="D368" s="156">
        <v>0.333</v>
      </c>
      <c r="E368" s="156">
        <v>0.095</v>
      </c>
      <c r="F368" s="157"/>
      <c r="G368" s="157"/>
      <c r="H368" s="157"/>
      <c r="I368" s="157"/>
      <c r="J368" s="157"/>
      <c r="K368" s="54"/>
      <c r="L368" s="157" t="s">
        <v>6796</v>
      </c>
      <c r="M368" s="159" t="s">
        <v>6796</v>
      </c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</row>
    <row r="369">
      <c r="A369" s="156">
        <v>7.290000284361E12</v>
      </c>
      <c r="B369" s="157" t="s">
        <v>6795</v>
      </c>
      <c r="C369" s="156">
        <v>0.095</v>
      </c>
      <c r="D369" s="156">
        <v>0.333</v>
      </c>
      <c r="E369" s="156">
        <v>0.095</v>
      </c>
      <c r="F369" s="157"/>
      <c r="G369" s="157"/>
      <c r="H369" s="157"/>
      <c r="I369" s="157"/>
      <c r="J369" s="157"/>
      <c r="K369" s="54"/>
      <c r="L369" s="157" t="s">
        <v>6795</v>
      </c>
      <c r="M369" s="159" t="s">
        <v>6795</v>
      </c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</row>
    <row r="370">
      <c r="A370" s="156">
        <v>7.290003667109E12</v>
      </c>
      <c r="B370" s="157" t="s">
        <v>6797</v>
      </c>
      <c r="C370" s="156">
        <v>0.095</v>
      </c>
      <c r="D370" s="156">
        <v>0.333</v>
      </c>
      <c r="E370" s="156">
        <v>0.095</v>
      </c>
      <c r="F370" s="157"/>
      <c r="G370" s="157"/>
      <c r="H370" s="157"/>
      <c r="I370" s="157"/>
      <c r="J370" s="157"/>
      <c r="K370" s="54"/>
      <c r="L370" s="157" t="s">
        <v>6797</v>
      </c>
      <c r="M370" s="159" t="s">
        <v>6797</v>
      </c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</row>
    <row r="371">
      <c r="A371" s="156">
        <v>7.290000284347E12</v>
      </c>
      <c r="B371" s="157" t="s">
        <v>6798</v>
      </c>
      <c r="C371" s="156">
        <v>0.095</v>
      </c>
      <c r="D371" s="156">
        <v>0.333</v>
      </c>
      <c r="E371" s="156">
        <v>0.095</v>
      </c>
      <c r="F371" s="157"/>
      <c r="G371" s="157"/>
      <c r="H371" s="157"/>
      <c r="I371" s="157"/>
      <c r="J371" s="157"/>
      <c r="K371" s="54"/>
      <c r="L371" s="157" t="s">
        <v>6798</v>
      </c>
      <c r="M371" s="157" t="s">
        <v>6798</v>
      </c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</row>
    <row r="372">
      <c r="A372" s="156">
        <v>7.290005605901E12</v>
      </c>
      <c r="B372" s="157" t="s">
        <v>6799</v>
      </c>
      <c r="C372" s="156">
        <v>0.095</v>
      </c>
      <c r="D372" s="156">
        <v>0.333</v>
      </c>
      <c r="E372" s="156">
        <v>0.095</v>
      </c>
      <c r="F372" s="157"/>
      <c r="G372" s="157"/>
      <c r="H372" s="157"/>
      <c r="I372" s="157"/>
      <c r="J372" s="157"/>
      <c r="K372" s="54"/>
      <c r="L372" s="157" t="s">
        <v>6799</v>
      </c>
      <c r="M372" s="159" t="s">
        <v>6799</v>
      </c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</row>
    <row r="373">
      <c r="A373" s="156">
        <v>7.290001594568E12</v>
      </c>
      <c r="B373" s="157" t="s">
        <v>6800</v>
      </c>
      <c r="C373" s="156">
        <v>0.065</v>
      </c>
      <c r="D373" s="156">
        <v>0.17</v>
      </c>
      <c r="E373" s="156">
        <v>0.06</v>
      </c>
      <c r="F373" s="157"/>
      <c r="G373" s="157"/>
      <c r="H373" s="157"/>
      <c r="I373" s="157"/>
      <c r="J373" s="157"/>
      <c r="K373" s="54"/>
      <c r="L373" s="157" t="s">
        <v>6800</v>
      </c>
      <c r="M373" s="159" t="s">
        <v>6800</v>
      </c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</row>
    <row r="374">
      <c r="A374" s="156">
        <v>7.290001594575E12</v>
      </c>
      <c r="B374" s="157" t="s">
        <v>6801</v>
      </c>
      <c r="C374" s="156">
        <v>0.065</v>
      </c>
      <c r="D374" s="156">
        <v>0.17</v>
      </c>
      <c r="E374" s="156">
        <v>0.06</v>
      </c>
      <c r="F374" s="157"/>
      <c r="G374" s="157"/>
      <c r="H374" s="157"/>
      <c r="I374" s="157"/>
      <c r="J374" s="157"/>
      <c r="K374" s="54"/>
      <c r="L374" s="157" t="s">
        <v>6801</v>
      </c>
      <c r="M374" s="159" t="s">
        <v>6801</v>
      </c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</row>
    <row r="375">
      <c r="A375" s="156">
        <v>7.290008909761E12</v>
      </c>
      <c r="B375" s="157" t="s">
        <v>6802</v>
      </c>
      <c r="C375" s="156">
        <v>0.056</v>
      </c>
      <c r="D375" s="156">
        <v>0.233</v>
      </c>
      <c r="E375" s="156">
        <v>0.056</v>
      </c>
      <c r="F375" s="157"/>
      <c r="G375" s="157"/>
      <c r="H375" s="157"/>
      <c r="I375" s="157"/>
      <c r="J375" s="157"/>
      <c r="K375" s="54"/>
      <c r="L375" s="157" t="s">
        <v>6802</v>
      </c>
      <c r="M375" s="159" t="s">
        <v>6802</v>
      </c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</row>
    <row r="376">
      <c r="A376" s="156">
        <v>7.29000159452E12</v>
      </c>
      <c r="B376" s="157" t="s">
        <v>6803</v>
      </c>
      <c r="C376" s="156">
        <v>0.06</v>
      </c>
      <c r="D376" s="156">
        <v>0.228</v>
      </c>
      <c r="E376" s="156">
        <v>0.06</v>
      </c>
      <c r="F376" s="157"/>
      <c r="G376" s="157"/>
      <c r="H376" s="157"/>
      <c r="I376" s="157"/>
      <c r="J376" s="157"/>
      <c r="K376" s="54"/>
      <c r="L376" s="157" t="s">
        <v>6803</v>
      </c>
      <c r="M376" s="159" t="s">
        <v>6803</v>
      </c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</row>
    <row r="377">
      <c r="A377" s="156">
        <v>5.410316983693E12</v>
      </c>
      <c r="B377" s="156" t="s">
        <v>4314</v>
      </c>
      <c r="C377" s="156">
        <v>0.058</v>
      </c>
      <c r="D377" s="156">
        <v>0.212</v>
      </c>
      <c r="E377" s="156">
        <v>0.058</v>
      </c>
      <c r="F377" s="157"/>
      <c r="G377" s="157"/>
      <c r="H377" s="157"/>
      <c r="I377" s="157"/>
      <c r="J377" s="157"/>
      <c r="K377" s="54"/>
      <c r="L377" s="160" t="s">
        <v>4314</v>
      </c>
      <c r="M377" s="156" t="s">
        <v>4314</v>
      </c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</row>
    <row r="378">
      <c r="A378" s="156">
        <v>7.290000336282E12</v>
      </c>
      <c r="B378" s="157" t="s">
        <v>6804</v>
      </c>
      <c r="C378" s="156">
        <v>0.06</v>
      </c>
      <c r="D378" s="156">
        <v>0.225</v>
      </c>
      <c r="E378" s="156">
        <v>0.06</v>
      </c>
      <c r="F378" s="157"/>
      <c r="G378" s="157"/>
      <c r="H378" s="157"/>
      <c r="I378" s="157"/>
      <c r="J378" s="157"/>
      <c r="K378" s="54"/>
      <c r="L378" s="157" t="s">
        <v>6804</v>
      </c>
      <c r="M378" s="159" t="s">
        <v>6804</v>
      </c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</row>
    <row r="379">
      <c r="A379" s="156">
        <v>7.290008464505E12</v>
      </c>
      <c r="B379" s="157" t="s">
        <v>6805</v>
      </c>
      <c r="C379" s="156">
        <v>0.065</v>
      </c>
      <c r="D379" s="156">
        <v>0.21</v>
      </c>
      <c r="E379" s="156">
        <v>0.065</v>
      </c>
      <c r="F379" s="157"/>
      <c r="G379" s="157"/>
      <c r="H379" s="157"/>
      <c r="I379" s="157"/>
      <c r="J379" s="157"/>
      <c r="K379" s="54"/>
      <c r="L379" s="157" t="s">
        <v>6805</v>
      </c>
      <c r="M379" s="159" t="s">
        <v>6805</v>
      </c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</row>
    <row r="380">
      <c r="A380" s="156">
        <v>7.290008464406E12</v>
      </c>
      <c r="B380" s="157" t="s">
        <v>6806</v>
      </c>
      <c r="C380" s="156">
        <v>0.057</v>
      </c>
      <c r="D380" s="156">
        <v>0.14</v>
      </c>
      <c r="E380" s="156">
        <v>0.057</v>
      </c>
      <c r="F380" s="157"/>
      <c r="G380" s="157"/>
      <c r="H380" s="157"/>
      <c r="I380" s="157"/>
      <c r="J380" s="157"/>
      <c r="K380" s="54"/>
      <c r="L380" s="157" t="s">
        <v>6806</v>
      </c>
      <c r="M380" s="159" t="s">
        <v>6806</v>
      </c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</row>
    <row r="381">
      <c r="A381" s="156">
        <v>7.290010237548E12</v>
      </c>
      <c r="B381" s="156" t="s">
        <v>3351</v>
      </c>
      <c r="C381" s="156">
        <v>0.065</v>
      </c>
      <c r="D381" s="156">
        <v>0.24</v>
      </c>
      <c r="E381" s="156">
        <v>0.065</v>
      </c>
      <c r="F381" s="157"/>
      <c r="G381" s="157"/>
      <c r="H381" s="157"/>
      <c r="I381" s="157"/>
      <c r="J381" s="157"/>
      <c r="K381" s="54"/>
      <c r="L381" s="160" t="s">
        <v>3351</v>
      </c>
      <c r="M381" s="156" t="s">
        <v>3351</v>
      </c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</row>
    <row r="382">
      <c r="A382" s="156">
        <v>7.290000433974E12</v>
      </c>
      <c r="B382" s="157" t="s">
        <v>6807</v>
      </c>
      <c r="C382" s="156">
        <v>0.08</v>
      </c>
      <c r="D382" s="156">
        <v>0.33</v>
      </c>
      <c r="E382" s="156">
        <v>0.08</v>
      </c>
      <c r="F382" s="157"/>
      <c r="G382" s="157"/>
      <c r="H382" s="157"/>
      <c r="I382" s="157"/>
      <c r="J382" s="157"/>
      <c r="K382" s="54"/>
      <c r="L382" s="157" t="s">
        <v>6807</v>
      </c>
      <c r="M382" s="159" t="s">
        <v>6807</v>
      </c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</row>
    <row r="383">
      <c r="A383" s="156">
        <v>7.290000327624E12</v>
      </c>
      <c r="B383" s="157" t="s">
        <v>6798</v>
      </c>
      <c r="C383" s="156">
        <v>0.098</v>
      </c>
      <c r="D383" s="156">
        <v>0.335</v>
      </c>
      <c r="E383" s="156">
        <v>0.098</v>
      </c>
      <c r="F383" s="157"/>
      <c r="G383" s="157"/>
      <c r="H383" s="157"/>
      <c r="I383" s="157"/>
      <c r="J383" s="157"/>
      <c r="K383" s="54"/>
      <c r="L383" s="157" t="s">
        <v>6798</v>
      </c>
      <c r="M383" s="157" t="s">
        <v>6798</v>
      </c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</row>
    <row r="384">
      <c r="A384" s="156">
        <v>7.290010237623E12</v>
      </c>
      <c r="B384" s="156" t="s">
        <v>3001</v>
      </c>
      <c r="C384" s="156">
        <v>0.093</v>
      </c>
      <c r="D384" s="156">
        <v>0.33</v>
      </c>
      <c r="E384" s="156">
        <v>0.093</v>
      </c>
      <c r="F384" s="157"/>
      <c r="G384" s="157"/>
      <c r="H384" s="157"/>
      <c r="I384" s="157"/>
      <c r="J384" s="157"/>
      <c r="K384" s="54"/>
      <c r="L384" s="160" t="s">
        <v>3001</v>
      </c>
      <c r="M384" s="156" t="s">
        <v>3001</v>
      </c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</row>
    <row r="385">
      <c r="A385" s="156">
        <v>7.290000433684E12</v>
      </c>
      <c r="B385" s="157" t="s">
        <v>6808</v>
      </c>
      <c r="C385" s="156">
        <v>0.08</v>
      </c>
      <c r="D385" s="156">
        <v>0.33</v>
      </c>
      <c r="E385" s="156">
        <v>0.08</v>
      </c>
      <c r="F385" s="157"/>
      <c r="G385" s="157"/>
      <c r="H385" s="157"/>
      <c r="I385" s="157"/>
      <c r="J385" s="157"/>
      <c r="K385" s="54"/>
      <c r="L385" s="157" t="s">
        <v>6808</v>
      </c>
      <c r="M385" s="159" t="s">
        <v>6808</v>
      </c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</row>
    <row r="386">
      <c r="A386" s="156">
        <v>433745.0</v>
      </c>
      <c r="B386" s="156" t="s">
        <v>2830</v>
      </c>
      <c r="C386" s="156">
        <v>0.08</v>
      </c>
      <c r="D386" s="156">
        <v>0.33</v>
      </c>
      <c r="E386" s="156">
        <v>0.08</v>
      </c>
      <c r="F386" s="157"/>
      <c r="G386" s="157"/>
      <c r="H386" s="157"/>
      <c r="I386" s="157"/>
      <c r="J386" s="157"/>
      <c r="K386" s="54"/>
      <c r="L386" s="160" t="s">
        <v>2830</v>
      </c>
      <c r="M386" s="156" t="s">
        <v>2830</v>
      </c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</row>
    <row r="387">
      <c r="A387" s="156">
        <v>7.290008464604E12</v>
      </c>
      <c r="B387" s="157" t="s">
        <v>6809</v>
      </c>
      <c r="C387" s="156">
        <v>0.065</v>
      </c>
      <c r="D387" s="156">
        <v>0.17</v>
      </c>
      <c r="E387" s="156">
        <v>0.065</v>
      </c>
      <c r="F387" s="157"/>
      <c r="G387" s="157"/>
      <c r="H387" s="157"/>
      <c r="I387" s="157"/>
      <c r="J387" s="157"/>
      <c r="K387" s="54"/>
      <c r="L387" s="157" t="s">
        <v>6809</v>
      </c>
      <c r="M387" s="159" t="s">
        <v>6809</v>
      </c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</row>
    <row r="388">
      <c r="A388" s="156">
        <v>7.290008464468E12</v>
      </c>
      <c r="B388" s="157" t="s">
        <v>6810</v>
      </c>
      <c r="C388" s="156">
        <v>0.065</v>
      </c>
      <c r="D388" s="156">
        <v>0.17</v>
      </c>
      <c r="E388" s="156">
        <v>0.065</v>
      </c>
      <c r="F388" s="157"/>
      <c r="G388" s="157"/>
      <c r="H388" s="157"/>
      <c r="I388" s="157"/>
      <c r="J388" s="157"/>
      <c r="K388" s="54"/>
      <c r="L388" s="157" t="s">
        <v>6810</v>
      </c>
      <c r="M388" s="159" t="s">
        <v>6810</v>
      </c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</row>
    <row r="389">
      <c r="A389" s="156">
        <v>7.290008464475E12</v>
      </c>
      <c r="B389" s="157" t="s">
        <v>6791</v>
      </c>
      <c r="C389" s="156">
        <v>0.065</v>
      </c>
      <c r="D389" s="156">
        <v>0.17</v>
      </c>
      <c r="E389" s="156">
        <v>0.065</v>
      </c>
      <c r="F389" s="157"/>
      <c r="G389" s="157"/>
      <c r="H389" s="157"/>
      <c r="I389" s="157"/>
      <c r="J389" s="157"/>
      <c r="K389" s="54"/>
      <c r="L389" s="157" t="s">
        <v>6791</v>
      </c>
      <c r="M389" s="159" t="s">
        <v>6791</v>
      </c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</row>
    <row r="390">
      <c r="A390" s="156">
        <v>7.290008464345E12</v>
      </c>
      <c r="B390" s="157" t="s">
        <v>6811</v>
      </c>
      <c r="C390" s="156">
        <v>0.06</v>
      </c>
      <c r="D390" s="156">
        <v>0.228</v>
      </c>
      <c r="E390" s="156">
        <v>0.06</v>
      </c>
      <c r="F390" s="157"/>
      <c r="G390" s="157"/>
      <c r="H390" s="157"/>
      <c r="I390" s="157"/>
      <c r="J390" s="157"/>
      <c r="K390" s="54"/>
      <c r="L390" s="157" t="s">
        <v>6811</v>
      </c>
      <c r="M390" s="159" t="s">
        <v>6811</v>
      </c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</row>
    <row r="391">
      <c r="A391" s="156">
        <v>7.290008464338E12</v>
      </c>
      <c r="B391" s="157" t="s">
        <v>6812</v>
      </c>
      <c r="C391" s="156">
        <v>0.058</v>
      </c>
      <c r="D391" s="156">
        <v>0.222</v>
      </c>
      <c r="E391" s="156">
        <v>0.058</v>
      </c>
      <c r="F391" s="157"/>
      <c r="G391" s="157"/>
      <c r="H391" s="157"/>
      <c r="I391" s="157"/>
      <c r="J391" s="157"/>
      <c r="K391" s="54"/>
      <c r="L391" s="157" t="s">
        <v>6812</v>
      </c>
      <c r="M391" s="159" t="s">
        <v>6812</v>
      </c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</row>
    <row r="392">
      <c r="A392" s="156">
        <v>5.010677554398E12</v>
      </c>
      <c r="B392" s="156" t="s">
        <v>524</v>
      </c>
      <c r="C392" s="156">
        <v>0.058</v>
      </c>
      <c r="D392" s="156">
        <v>0.212</v>
      </c>
      <c r="E392" s="156">
        <v>0.058</v>
      </c>
      <c r="F392" s="157"/>
      <c r="G392" s="157"/>
      <c r="H392" s="157"/>
      <c r="I392" s="157"/>
      <c r="J392" s="157"/>
      <c r="K392" s="54"/>
      <c r="L392" s="160" t="s">
        <v>524</v>
      </c>
      <c r="M392" s="156" t="s">
        <v>524</v>
      </c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</row>
    <row r="393">
      <c r="A393" s="156">
        <v>5.010677552387E12</v>
      </c>
      <c r="B393" s="156" t="s">
        <v>518</v>
      </c>
      <c r="C393" s="156">
        <v>0.058</v>
      </c>
      <c r="D393" s="156">
        <v>0.212</v>
      </c>
      <c r="E393" s="156">
        <v>0.058</v>
      </c>
      <c r="F393" s="157"/>
      <c r="G393" s="157"/>
      <c r="H393" s="157"/>
      <c r="I393" s="157"/>
      <c r="J393" s="157"/>
      <c r="K393" s="54"/>
      <c r="L393" s="160" t="s">
        <v>518</v>
      </c>
      <c r="M393" s="156" t="s">
        <v>518</v>
      </c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</row>
    <row r="394">
      <c r="A394" s="156">
        <v>7.290002663522E12</v>
      </c>
      <c r="B394" s="157" t="s">
        <v>6813</v>
      </c>
      <c r="C394" s="156">
        <v>0.09</v>
      </c>
      <c r="D394" s="156">
        <v>0.316</v>
      </c>
      <c r="E394" s="156">
        <v>0.09</v>
      </c>
      <c r="F394" s="157"/>
      <c r="G394" s="157"/>
      <c r="H394" s="157"/>
      <c r="I394" s="157"/>
      <c r="J394" s="157"/>
      <c r="K394" s="54"/>
      <c r="L394" s="157" t="s">
        <v>6813</v>
      </c>
      <c r="M394" s="159" t="s">
        <v>6813</v>
      </c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</row>
    <row r="395">
      <c r="A395" s="156">
        <v>7.29000556468E12</v>
      </c>
      <c r="B395" s="157" t="s">
        <v>6814</v>
      </c>
      <c r="C395" s="156">
        <v>0.09</v>
      </c>
      <c r="D395" s="156">
        <v>0.316</v>
      </c>
      <c r="E395" s="156">
        <v>0.09</v>
      </c>
      <c r="F395" s="157"/>
      <c r="G395" s="157"/>
      <c r="H395" s="157"/>
      <c r="I395" s="157"/>
      <c r="J395" s="157"/>
      <c r="K395" s="54"/>
      <c r="L395" s="157" t="s">
        <v>6814</v>
      </c>
      <c r="M395" s="159" t="s">
        <v>6814</v>
      </c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</row>
    <row r="396">
      <c r="A396" s="156">
        <v>7.290000688114E12</v>
      </c>
      <c r="B396" s="157" t="s">
        <v>6815</v>
      </c>
      <c r="C396" s="156">
        <v>0.09</v>
      </c>
      <c r="D396" s="156">
        <v>0.34</v>
      </c>
      <c r="E396" s="156">
        <v>0.09</v>
      </c>
      <c r="F396" s="157"/>
      <c r="G396" s="157"/>
      <c r="H396" s="157"/>
      <c r="I396" s="157"/>
      <c r="J396" s="157"/>
      <c r="K396" s="54"/>
      <c r="L396" s="157" t="s">
        <v>6815</v>
      </c>
      <c r="M396" s="159" t="s">
        <v>6815</v>
      </c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</row>
    <row r="397">
      <c r="A397" s="156">
        <v>7.290000688084E12</v>
      </c>
      <c r="B397" s="157" t="s">
        <v>6816</v>
      </c>
      <c r="C397" s="156">
        <v>0.06</v>
      </c>
      <c r="D397" s="156">
        <v>0.23</v>
      </c>
      <c r="E397" s="156">
        <v>0.06</v>
      </c>
      <c r="F397" s="157"/>
      <c r="G397" s="157"/>
      <c r="H397" s="157"/>
      <c r="I397" s="157"/>
      <c r="J397" s="157"/>
      <c r="K397" s="54"/>
      <c r="L397" s="157" t="s">
        <v>6816</v>
      </c>
      <c r="M397" s="159" t="s">
        <v>6816</v>
      </c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</row>
    <row r="398">
      <c r="A398" s="156">
        <v>7.290008757034E12</v>
      </c>
      <c r="B398" s="157" t="s">
        <v>6817</v>
      </c>
      <c r="C398" s="156">
        <v>0.053</v>
      </c>
      <c r="D398" s="156">
        <v>0.196</v>
      </c>
      <c r="E398" s="156">
        <v>0.053</v>
      </c>
      <c r="F398" s="157"/>
      <c r="G398" s="157"/>
      <c r="H398" s="157"/>
      <c r="I398" s="157"/>
      <c r="J398" s="157"/>
      <c r="K398" s="54"/>
      <c r="L398" s="157" t="s">
        <v>6817</v>
      </c>
      <c r="M398" s="159" t="s">
        <v>6817</v>
      </c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</row>
    <row r="399">
      <c r="A399" s="156">
        <v>7.290011051396E12</v>
      </c>
      <c r="B399" s="156" t="s">
        <v>4196</v>
      </c>
      <c r="C399" s="156">
        <v>0.09</v>
      </c>
      <c r="D399" s="156">
        <v>0.33</v>
      </c>
      <c r="E399" s="156">
        <v>0.09</v>
      </c>
      <c r="F399" s="157"/>
      <c r="G399" s="157"/>
      <c r="H399" s="157"/>
      <c r="I399" s="157"/>
      <c r="J399" s="157"/>
      <c r="K399" s="54"/>
      <c r="L399" s="160" t="s">
        <v>4196</v>
      </c>
      <c r="M399" s="156" t="s">
        <v>4196</v>
      </c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</row>
    <row r="400">
      <c r="A400" s="156">
        <v>7.290011051389E12</v>
      </c>
      <c r="B400" s="156" t="s">
        <v>4189</v>
      </c>
      <c r="C400" s="156">
        <v>0.09</v>
      </c>
      <c r="D400" s="156">
        <v>0.33</v>
      </c>
      <c r="E400" s="156">
        <v>0.09</v>
      </c>
      <c r="F400" s="157"/>
      <c r="G400" s="157"/>
      <c r="H400" s="157"/>
      <c r="I400" s="157"/>
      <c r="J400" s="157"/>
      <c r="K400" s="54"/>
      <c r="L400" s="160" t="s">
        <v>4189</v>
      </c>
      <c r="M400" s="156" t="s">
        <v>4189</v>
      </c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</row>
    <row r="401">
      <c r="A401" s="156">
        <v>7.290000285849E12</v>
      </c>
      <c r="B401" s="157" t="s">
        <v>6818</v>
      </c>
      <c r="C401" s="156">
        <v>0.09</v>
      </c>
      <c r="D401" s="156">
        <v>0.329</v>
      </c>
      <c r="E401" s="156">
        <v>0.09</v>
      </c>
      <c r="F401" s="157"/>
      <c r="G401" s="157"/>
      <c r="H401" s="157"/>
      <c r="I401" s="157"/>
      <c r="J401" s="157"/>
      <c r="K401" s="54"/>
      <c r="L401" s="157" t="s">
        <v>6818</v>
      </c>
      <c r="M401" s="159" t="s">
        <v>6818</v>
      </c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</row>
    <row r="402">
      <c r="A402" s="156">
        <v>7.29000875701E12</v>
      </c>
      <c r="B402" s="157" t="s">
        <v>6819</v>
      </c>
      <c r="C402" s="156">
        <v>0.053</v>
      </c>
      <c r="D402" s="156">
        <v>0.196</v>
      </c>
      <c r="E402" s="156">
        <v>0.053</v>
      </c>
      <c r="F402" s="157"/>
      <c r="G402" s="157"/>
      <c r="H402" s="157"/>
      <c r="I402" s="157"/>
      <c r="J402" s="157"/>
      <c r="K402" s="54"/>
      <c r="L402" s="157" t="s">
        <v>6819</v>
      </c>
      <c r="M402" s="159" t="s">
        <v>6819</v>
      </c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</row>
    <row r="403">
      <c r="A403" s="156">
        <v>7.290010237685E12</v>
      </c>
      <c r="B403" s="156" t="s">
        <v>1874</v>
      </c>
      <c r="C403" s="156">
        <v>0.06</v>
      </c>
      <c r="D403" s="156">
        <v>0.23</v>
      </c>
      <c r="E403" s="156">
        <v>0.06</v>
      </c>
      <c r="F403" s="157"/>
      <c r="G403" s="157"/>
      <c r="H403" s="157"/>
      <c r="I403" s="157"/>
      <c r="J403" s="157"/>
      <c r="K403" s="54"/>
      <c r="L403" s="160" t="s">
        <v>1874</v>
      </c>
      <c r="M403" s="156" t="s">
        <v>1874</v>
      </c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</row>
    <row r="404">
      <c r="A404" s="156">
        <v>7.290006764478E12</v>
      </c>
      <c r="B404" s="157" t="s">
        <v>6806</v>
      </c>
      <c r="C404" s="156">
        <v>0.06</v>
      </c>
      <c r="D404" s="156">
        <v>0.225</v>
      </c>
      <c r="E404" s="156">
        <v>0.02</v>
      </c>
      <c r="F404" s="157"/>
      <c r="G404" s="157"/>
      <c r="H404" s="157"/>
      <c r="I404" s="157"/>
      <c r="J404" s="157"/>
      <c r="K404" s="54"/>
      <c r="L404" s="157" t="s">
        <v>6806</v>
      </c>
      <c r="M404" s="159" t="s">
        <v>6806</v>
      </c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</row>
    <row r="405">
      <c r="A405" s="156">
        <v>9.01628E7</v>
      </c>
      <c r="B405" s="156" t="s">
        <v>3945</v>
      </c>
      <c r="C405" s="156">
        <v>0.053</v>
      </c>
      <c r="D405" s="156">
        <v>0.134</v>
      </c>
      <c r="E405" s="156">
        <v>0.053</v>
      </c>
      <c r="F405" s="157"/>
      <c r="G405" s="157"/>
      <c r="H405" s="157"/>
      <c r="I405" s="157"/>
      <c r="J405" s="157"/>
      <c r="K405" s="54"/>
      <c r="L405" s="160" t="s">
        <v>3945</v>
      </c>
      <c r="M405" s="156" t="s">
        <v>3945</v>
      </c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</row>
    <row r="406">
      <c r="A406" s="156">
        <v>7.290001045688E12</v>
      </c>
      <c r="B406" s="157" t="s">
        <v>6820</v>
      </c>
      <c r="C406" s="156">
        <v>0.07</v>
      </c>
      <c r="D406" s="156">
        <v>0.19</v>
      </c>
      <c r="E406" s="156">
        <v>0.045</v>
      </c>
      <c r="F406" s="157"/>
      <c r="G406" s="157"/>
      <c r="H406" s="157"/>
      <c r="I406" s="157"/>
      <c r="J406" s="157"/>
      <c r="K406" s="54"/>
      <c r="L406" s="157" t="s">
        <v>6820</v>
      </c>
      <c r="M406" s="159" t="s">
        <v>6820</v>
      </c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</row>
    <row r="407">
      <c r="A407" s="156">
        <v>7.290001045633E12</v>
      </c>
      <c r="B407" s="157" t="s">
        <v>6821</v>
      </c>
      <c r="C407" s="156">
        <v>0.07</v>
      </c>
      <c r="D407" s="156">
        <v>0.19</v>
      </c>
      <c r="E407" s="156">
        <v>0.045</v>
      </c>
      <c r="F407" s="157"/>
      <c r="G407" s="157"/>
      <c r="H407" s="157"/>
      <c r="I407" s="157"/>
      <c r="J407" s="157"/>
      <c r="K407" s="54"/>
      <c r="L407" s="157" t="s">
        <v>6821</v>
      </c>
      <c r="M407" s="159" t="s">
        <v>6821</v>
      </c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</row>
    <row r="408">
      <c r="A408" s="156">
        <v>7.290001045657E12</v>
      </c>
      <c r="B408" s="157" t="s">
        <v>6820</v>
      </c>
      <c r="C408" s="156">
        <v>0.07</v>
      </c>
      <c r="D408" s="156">
        <v>0.19</v>
      </c>
      <c r="E408" s="156">
        <v>0.045</v>
      </c>
      <c r="F408" s="157"/>
      <c r="G408" s="157"/>
      <c r="H408" s="157"/>
      <c r="I408" s="157"/>
      <c r="J408" s="157"/>
      <c r="K408" s="54"/>
      <c r="L408" s="157" t="s">
        <v>6820</v>
      </c>
      <c r="M408" s="159" t="s">
        <v>6820</v>
      </c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</row>
    <row r="409">
      <c r="A409" s="156">
        <v>7.290005564253E12</v>
      </c>
      <c r="B409" s="157" t="s">
        <v>6822</v>
      </c>
      <c r="C409" s="156">
        <v>0.09</v>
      </c>
      <c r="D409" s="156">
        <v>0.316</v>
      </c>
      <c r="E409" s="156">
        <v>0.09</v>
      </c>
      <c r="F409" s="157"/>
      <c r="G409" s="157"/>
      <c r="H409" s="157"/>
      <c r="I409" s="157"/>
      <c r="J409" s="157"/>
      <c r="K409" s="54"/>
      <c r="L409" s="157" t="s">
        <v>6822</v>
      </c>
      <c r="M409" s="159" t="s">
        <v>6822</v>
      </c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</row>
    <row r="410">
      <c r="A410" s="156">
        <v>7.290003608089E12</v>
      </c>
      <c r="B410" s="157" t="s">
        <v>6823</v>
      </c>
      <c r="C410" s="156">
        <v>0.09</v>
      </c>
      <c r="D410" s="156">
        <v>0.316</v>
      </c>
      <c r="E410" s="156">
        <v>0.09</v>
      </c>
      <c r="F410" s="157"/>
      <c r="G410" s="157"/>
      <c r="H410" s="157"/>
      <c r="I410" s="157"/>
      <c r="J410" s="157"/>
      <c r="K410" s="54"/>
      <c r="L410" s="157" t="s">
        <v>6823</v>
      </c>
      <c r="M410" s="159" t="s">
        <v>6823</v>
      </c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</row>
    <row r="411">
      <c r="A411" s="156">
        <v>7.290012404177E12</v>
      </c>
      <c r="B411" s="156" t="s">
        <v>4127</v>
      </c>
      <c r="C411" s="156">
        <v>0.065</v>
      </c>
      <c r="D411" s="156">
        <v>0.221</v>
      </c>
      <c r="E411" s="156">
        <v>0.065</v>
      </c>
      <c r="F411" s="157"/>
      <c r="G411" s="157"/>
      <c r="H411" s="157"/>
      <c r="I411" s="157"/>
      <c r="J411" s="157"/>
      <c r="K411" s="54"/>
      <c r="L411" s="160" t="s">
        <v>4127</v>
      </c>
      <c r="M411" s="156" t="s">
        <v>4127</v>
      </c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</row>
    <row r="412">
      <c r="A412" s="156">
        <v>7.290012404146E12</v>
      </c>
      <c r="B412" s="156" t="s">
        <v>4121</v>
      </c>
      <c r="C412" s="156">
        <v>0.09</v>
      </c>
      <c r="D412" s="156">
        <v>0.331</v>
      </c>
      <c r="E412" s="156">
        <v>0.09</v>
      </c>
      <c r="F412" s="157"/>
      <c r="G412" s="157"/>
      <c r="H412" s="157"/>
      <c r="I412" s="157"/>
      <c r="J412" s="157"/>
      <c r="K412" s="54"/>
      <c r="L412" s="160" t="s">
        <v>4121</v>
      </c>
      <c r="M412" s="156" t="s">
        <v>4121</v>
      </c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</row>
    <row r="413">
      <c r="A413" s="156">
        <v>7.290012404184E12</v>
      </c>
      <c r="B413" s="156" t="s">
        <v>4141</v>
      </c>
      <c r="C413" s="156">
        <v>0.065</v>
      </c>
      <c r="D413" s="156">
        <v>0.221</v>
      </c>
      <c r="E413" s="156">
        <v>0.065</v>
      </c>
      <c r="F413" s="157"/>
      <c r="G413" s="157"/>
      <c r="H413" s="157"/>
      <c r="I413" s="157"/>
      <c r="J413" s="157"/>
      <c r="K413" s="54"/>
      <c r="L413" s="160" t="s">
        <v>4141</v>
      </c>
      <c r="M413" s="156" t="s">
        <v>4141</v>
      </c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</row>
    <row r="414">
      <c r="A414" s="156">
        <v>7.53182231761E11</v>
      </c>
      <c r="B414" s="156" t="s">
        <v>490</v>
      </c>
      <c r="C414" s="156">
        <v>0.053</v>
      </c>
      <c r="D414" s="156">
        <v>0.134</v>
      </c>
      <c r="E414" s="156">
        <v>0.053</v>
      </c>
      <c r="F414" s="157"/>
      <c r="G414" s="157"/>
      <c r="H414" s="157"/>
      <c r="I414" s="157"/>
      <c r="J414" s="157"/>
      <c r="K414" s="54"/>
      <c r="L414" s="160" t="s">
        <v>490</v>
      </c>
      <c r="M414" s="156" t="s">
        <v>490</v>
      </c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</row>
    <row r="415">
      <c r="A415" s="156">
        <v>8.39762002386E11</v>
      </c>
      <c r="B415" s="156" t="s">
        <v>1922</v>
      </c>
      <c r="C415" s="156">
        <v>0.06</v>
      </c>
      <c r="D415" s="156">
        <v>0.195</v>
      </c>
      <c r="E415" s="156">
        <v>0.06</v>
      </c>
      <c r="F415" s="157"/>
      <c r="G415" s="157"/>
      <c r="H415" s="157"/>
      <c r="I415" s="157"/>
      <c r="J415" s="157"/>
      <c r="K415" s="54"/>
      <c r="L415" s="160" t="s">
        <v>1922</v>
      </c>
      <c r="M415" s="156" t="s">
        <v>1922</v>
      </c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</row>
    <row r="416">
      <c r="A416" s="156">
        <v>8.39762002379E11</v>
      </c>
      <c r="B416" s="156" t="s">
        <v>6824</v>
      </c>
      <c r="C416" s="156">
        <v>0.06</v>
      </c>
      <c r="D416" s="156">
        <v>0.195</v>
      </c>
      <c r="E416" s="156">
        <v>0.06</v>
      </c>
      <c r="F416" s="157"/>
      <c r="G416" s="157"/>
      <c r="H416" s="157"/>
      <c r="I416" s="157"/>
      <c r="J416" s="157"/>
      <c r="K416" s="54"/>
      <c r="L416" s="160" t="s">
        <v>6824</v>
      </c>
      <c r="M416" s="156" t="s">
        <v>6824</v>
      </c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</row>
    <row r="417">
      <c r="A417" s="156">
        <v>8.850389105849E12</v>
      </c>
      <c r="B417" s="156" t="s">
        <v>4089</v>
      </c>
      <c r="C417" s="156">
        <v>0.08</v>
      </c>
      <c r="D417" s="156">
        <v>0.295</v>
      </c>
      <c r="E417" s="156">
        <v>0.08</v>
      </c>
      <c r="F417" s="157"/>
      <c r="G417" s="157"/>
      <c r="H417" s="157"/>
      <c r="I417" s="157"/>
      <c r="J417" s="157"/>
      <c r="K417" s="54"/>
      <c r="L417" s="160" t="s">
        <v>4089</v>
      </c>
      <c r="M417" s="156" t="s">
        <v>4089</v>
      </c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</row>
    <row r="418">
      <c r="A418" s="156">
        <v>8.850389105825E12</v>
      </c>
      <c r="B418" s="156" t="s">
        <v>6825</v>
      </c>
      <c r="C418" s="156">
        <v>0.08</v>
      </c>
      <c r="D418" s="156">
        <v>0.295</v>
      </c>
      <c r="E418" s="156">
        <v>0.08</v>
      </c>
      <c r="F418" s="157"/>
      <c r="G418" s="157"/>
      <c r="H418" s="157"/>
      <c r="I418" s="157"/>
      <c r="J418" s="157"/>
      <c r="K418" s="54"/>
      <c r="L418" s="160" t="s">
        <v>6825</v>
      </c>
      <c r="M418" s="156" t="s">
        <v>6825</v>
      </c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</row>
    <row r="419">
      <c r="A419" s="156">
        <v>7.290002542506E12</v>
      </c>
      <c r="B419" s="157" t="s">
        <v>6826</v>
      </c>
      <c r="C419" s="156">
        <v>0.058</v>
      </c>
      <c r="D419" s="156">
        <v>0.25</v>
      </c>
      <c r="E419" s="156">
        <v>0.058</v>
      </c>
      <c r="F419" s="157"/>
      <c r="G419" s="157"/>
      <c r="H419" s="157"/>
      <c r="I419" s="157"/>
      <c r="J419" s="157"/>
      <c r="K419" s="54"/>
      <c r="L419" s="157" t="s">
        <v>6826</v>
      </c>
      <c r="M419" s="159" t="s">
        <v>6826</v>
      </c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</row>
    <row r="420">
      <c r="A420" s="156">
        <v>8.850389105832E12</v>
      </c>
      <c r="B420" s="156" t="s">
        <v>4071</v>
      </c>
      <c r="C420" s="156">
        <v>0.08</v>
      </c>
      <c r="D420" s="156">
        <v>0.295</v>
      </c>
      <c r="E420" s="156">
        <v>0.08</v>
      </c>
      <c r="F420" s="157"/>
      <c r="G420" s="157"/>
      <c r="H420" s="157"/>
      <c r="I420" s="157"/>
      <c r="J420" s="157"/>
      <c r="K420" s="54"/>
      <c r="L420" s="160" t="s">
        <v>4071</v>
      </c>
      <c r="M420" s="156" t="s">
        <v>4071</v>
      </c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</row>
    <row r="421">
      <c r="A421" s="156">
        <v>7.290008909884E12</v>
      </c>
      <c r="B421" s="157" t="s">
        <v>6827</v>
      </c>
      <c r="C421" s="156">
        <v>0.058</v>
      </c>
      <c r="D421" s="156">
        <v>0.212</v>
      </c>
      <c r="E421" s="156">
        <v>0.058</v>
      </c>
      <c r="F421" s="157"/>
      <c r="G421" s="157"/>
      <c r="H421" s="157"/>
      <c r="I421" s="157"/>
      <c r="J421" s="157"/>
      <c r="K421" s="54"/>
      <c r="L421" s="157" t="s">
        <v>6827</v>
      </c>
      <c r="M421" s="159" t="s">
        <v>6827</v>
      </c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</row>
    <row r="422">
      <c r="A422" s="156">
        <v>7.290010237579E12</v>
      </c>
      <c r="B422" s="156" t="s">
        <v>4267</v>
      </c>
      <c r="C422" s="156">
        <v>0.065</v>
      </c>
      <c r="D422" s="156">
        <v>0.24</v>
      </c>
      <c r="E422" s="156">
        <v>0.065</v>
      </c>
      <c r="F422" s="157"/>
      <c r="G422" s="157"/>
      <c r="H422" s="157"/>
      <c r="I422" s="157"/>
      <c r="J422" s="157"/>
      <c r="K422" s="54"/>
      <c r="L422" s="160" t="s">
        <v>4267</v>
      </c>
      <c r="M422" s="156" t="s">
        <v>4267</v>
      </c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</row>
    <row r="423">
      <c r="A423" s="156">
        <v>7.29001370247E12</v>
      </c>
      <c r="B423" s="156" t="s">
        <v>4169</v>
      </c>
      <c r="C423" s="156">
        <v>0.09</v>
      </c>
      <c r="D423" s="156">
        <v>0.331</v>
      </c>
      <c r="E423" s="156">
        <v>0.09</v>
      </c>
      <c r="F423" s="157"/>
      <c r="G423" s="157"/>
      <c r="H423" s="157"/>
      <c r="I423" s="157"/>
      <c r="J423" s="157"/>
      <c r="K423" s="54"/>
      <c r="L423" s="160" t="s">
        <v>4169</v>
      </c>
      <c r="M423" s="156" t="s">
        <v>4169</v>
      </c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</row>
    <row r="424">
      <c r="A424" s="156">
        <v>5.90494175192E12</v>
      </c>
      <c r="B424" s="156" t="s">
        <v>6828</v>
      </c>
      <c r="C424" s="156">
        <v>0.053</v>
      </c>
      <c r="D424" s="156">
        <v>0.134</v>
      </c>
      <c r="E424" s="156">
        <v>0.053</v>
      </c>
      <c r="F424" s="157"/>
      <c r="G424" s="157"/>
      <c r="H424" s="157"/>
      <c r="I424" s="157"/>
      <c r="J424" s="157"/>
      <c r="K424" s="54"/>
      <c r="L424" s="160" t="s">
        <v>6828</v>
      </c>
      <c r="M424" s="156" t="s">
        <v>6828</v>
      </c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</row>
    <row r="425">
      <c r="A425" s="156">
        <v>7.290011018306E12</v>
      </c>
      <c r="B425" s="156" t="s">
        <v>1597</v>
      </c>
      <c r="C425" s="156">
        <v>0.09199999</v>
      </c>
      <c r="D425" s="156">
        <v>0.3</v>
      </c>
      <c r="E425" s="156">
        <v>0.09199999</v>
      </c>
      <c r="F425" s="157"/>
      <c r="G425" s="157"/>
      <c r="H425" s="157"/>
      <c r="I425" s="157"/>
      <c r="J425" s="157"/>
      <c r="K425" s="54"/>
      <c r="L425" s="160" t="s">
        <v>1597</v>
      </c>
      <c r="M425" s="156" t="s">
        <v>1597</v>
      </c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</row>
    <row r="426">
      <c r="A426" s="156">
        <v>7.290011018283E12</v>
      </c>
      <c r="B426" s="156" t="s">
        <v>1588</v>
      </c>
      <c r="C426" s="156">
        <v>0.09199999</v>
      </c>
      <c r="D426" s="156">
        <v>0.3</v>
      </c>
      <c r="E426" s="156">
        <v>0.09199999</v>
      </c>
      <c r="F426" s="157"/>
      <c r="G426" s="157"/>
      <c r="H426" s="157"/>
      <c r="I426" s="157"/>
      <c r="J426" s="157"/>
      <c r="K426" s="54"/>
      <c r="L426" s="160" t="s">
        <v>1588</v>
      </c>
      <c r="M426" s="156" t="s">
        <v>1588</v>
      </c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</row>
    <row r="427">
      <c r="A427" s="156">
        <v>7.290011018252E12</v>
      </c>
      <c r="B427" s="156" t="s">
        <v>1603</v>
      </c>
      <c r="C427" s="156">
        <v>0.09199999</v>
      </c>
      <c r="D427" s="156">
        <v>0.3</v>
      </c>
      <c r="E427" s="156">
        <v>0.09199999</v>
      </c>
      <c r="F427" s="157"/>
      <c r="G427" s="157"/>
      <c r="H427" s="157"/>
      <c r="I427" s="157"/>
      <c r="J427" s="157"/>
      <c r="K427" s="54"/>
      <c r="L427" s="160" t="s">
        <v>1603</v>
      </c>
      <c r="M427" s="156" t="s">
        <v>1603</v>
      </c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</row>
    <row r="428">
      <c r="A428" s="156">
        <v>7.290011018191E12</v>
      </c>
      <c r="B428" s="156" t="s">
        <v>6829</v>
      </c>
      <c r="C428" s="156">
        <v>0.073</v>
      </c>
      <c r="D428" s="156">
        <v>0.205</v>
      </c>
      <c r="E428" s="156">
        <v>0.02</v>
      </c>
      <c r="F428" s="157"/>
      <c r="G428" s="157"/>
      <c r="H428" s="157"/>
      <c r="I428" s="157"/>
      <c r="J428" s="157"/>
      <c r="K428" s="54"/>
      <c r="L428" s="160" t="s">
        <v>6829</v>
      </c>
      <c r="M428" s="156" t="s">
        <v>6829</v>
      </c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</row>
    <row r="429">
      <c r="A429" s="156">
        <v>8.005200486526E12</v>
      </c>
      <c r="B429" s="156" t="s">
        <v>3026</v>
      </c>
      <c r="C429" s="156">
        <v>0.066</v>
      </c>
      <c r="D429" s="156">
        <v>0.215</v>
      </c>
      <c r="E429" s="156">
        <v>0.066</v>
      </c>
      <c r="F429" s="157"/>
      <c r="G429" s="157"/>
      <c r="H429" s="157"/>
      <c r="I429" s="157"/>
      <c r="J429" s="157"/>
      <c r="K429" s="54"/>
      <c r="L429" s="160" t="s">
        <v>3026</v>
      </c>
      <c r="M429" s="156" t="s">
        <v>3026</v>
      </c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</row>
    <row r="430">
      <c r="A430" s="156">
        <v>8.005200496525E12</v>
      </c>
      <c r="B430" s="156" t="s">
        <v>6830</v>
      </c>
      <c r="C430" s="156">
        <v>0.08899999</v>
      </c>
      <c r="D430" s="156">
        <v>0.322</v>
      </c>
      <c r="E430" s="156">
        <v>0.08899999</v>
      </c>
      <c r="F430" s="157"/>
      <c r="G430" s="157"/>
      <c r="H430" s="157"/>
      <c r="I430" s="157"/>
      <c r="J430" s="157"/>
      <c r="K430" s="54"/>
      <c r="L430" s="160" t="s">
        <v>6830</v>
      </c>
      <c r="M430" s="156" t="s">
        <v>6830</v>
      </c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</row>
    <row r="431">
      <c r="A431" s="156">
        <v>8.001160001786E12</v>
      </c>
      <c r="B431" s="156" t="s">
        <v>6831</v>
      </c>
      <c r="C431" s="156">
        <v>0.062</v>
      </c>
      <c r="D431" s="156">
        <v>0.24</v>
      </c>
      <c r="E431" s="156">
        <v>0.062</v>
      </c>
      <c r="F431" s="157"/>
      <c r="G431" s="157"/>
      <c r="H431" s="157"/>
      <c r="I431" s="157"/>
      <c r="J431" s="157"/>
      <c r="K431" s="54"/>
      <c r="L431" s="160" t="s">
        <v>6831</v>
      </c>
      <c r="M431" s="156" t="s">
        <v>6831</v>
      </c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</row>
    <row r="432">
      <c r="A432" s="156">
        <v>8.001160001892E12</v>
      </c>
      <c r="B432" s="156" t="s">
        <v>1642</v>
      </c>
      <c r="C432" s="156">
        <v>0.062</v>
      </c>
      <c r="D432" s="156">
        <v>0.24</v>
      </c>
      <c r="E432" s="156">
        <v>0.062</v>
      </c>
      <c r="F432" s="157"/>
      <c r="G432" s="157"/>
      <c r="H432" s="157"/>
      <c r="I432" s="157"/>
      <c r="J432" s="157"/>
      <c r="K432" s="54"/>
      <c r="L432" s="160" t="s">
        <v>1642</v>
      </c>
      <c r="M432" s="156" t="s">
        <v>1642</v>
      </c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</row>
    <row r="433">
      <c r="A433" s="156">
        <v>7.29001101858E12</v>
      </c>
      <c r="B433" s="156" t="s">
        <v>1581</v>
      </c>
      <c r="C433" s="156">
        <v>0.09199999</v>
      </c>
      <c r="D433" s="156">
        <v>0.3</v>
      </c>
      <c r="E433" s="156">
        <v>0.09199999</v>
      </c>
      <c r="F433" s="157"/>
      <c r="G433" s="157"/>
      <c r="H433" s="157"/>
      <c r="I433" s="157"/>
      <c r="J433" s="157"/>
      <c r="K433" s="54"/>
      <c r="L433" s="160" t="s">
        <v>1581</v>
      </c>
      <c r="M433" s="156" t="s">
        <v>1581</v>
      </c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</row>
    <row r="434">
      <c r="A434" s="156">
        <v>8.002270846472E12</v>
      </c>
      <c r="B434" s="156" t="s">
        <v>4050</v>
      </c>
      <c r="C434" s="156">
        <v>0.062</v>
      </c>
      <c r="D434" s="156">
        <v>0.23</v>
      </c>
      <c r="E434" s="156">
        <v>0.062</v>
      </c>
      <c r="F434" s="157"/>
      <c r="G434" s="157"/>
      <c r="H434" s="157"/>
      <c r="I434" s="157"/>
      <c r="J434" s="157"/>
      <c r="K434" s="54"/>
      <c r="L434" s="160" t="s">
        <v>4050</v>
      </c>
      <c r="M434" s="156" t="s">
        <v>4050</v>
      </c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</row>
    <row r="435">
      <c r="A435" s="156">
        <v>7.29001101788E12</v>
      </c>
      <c r="B435" s="156" t="s">
        <v>868</v>
      </c>
      <c r="C435" s="156">
        <v>0.057</v>
      </c>
      <c r="D435" s="156">
        <v>0.14</v>
      </c>
      <c r="E435" s="156">
        <v>0.057</v>
      </c>
      <c r="F435" s="157"/>
      <c r="G435" s="157"/>
      <c r="H435" s="157"/>
      <c r="I435" s="157"/>
      <c r="J435" s="157"/>
      <c r="K435" s="54"/>
      <c r="L435" s="160" t="s">
        <v>868</v>
      </c>
      <c r="M435" s="156" t="s">
        <v>868</v>
      </c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</row>
    <row r="436">
      <c r="A436" s="156">
        <v>5.904941750312E12</v>
      </c>
      <c r="B436" s="156" t="s">
        <v>471</v>
      </c>
      <c r="C436" s="156">
        <v>0.053</v>
      </c>
      <c r="D436" s="156">
        <v>0.134</v>
      </c>
      <c r="E436" s="156">
        <v>0.053</v>
      </c>
      <c r="F436" s="157"/>
      <c r="G436" s="157"/>
      <c r="H436" s="157"/>
      <c r="I436" s="157"/>
      <c r="J436" s="157"/>
      <c r="K436" s="54"/>
      <c r="L436" s="160" t="s">
        <v>471</v>
      </c>
      <c r="M436" s="156" t="s">
        <v>471</v>
      </c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</row>
    <row r="437">
      <c r="A437" s="156">
        <v>5.904941751524E12</v>
      </c>
      <c r="B437" s="156" t="s">
        <v>477</v>
      </c>
      <c r="C437" s="156">
        <v>0.053</v>
      </c>
      <c r="D437" s="156">
        <v>0.134</v>
      </c>
      <c r="E437" s="156">
        <v>0.053</v>
      </c>
      <c r="F437" s="157"/>
      <c r="G437" s="157"/>
      <c r="H437" s="157"/>
      <c r="I437" s="157"/>
      <c r="J437" s="157"/>
      <c r="K437" s="54"/>
      <c r="L437" s="160" t="s">
        <v>477</v>
      </c>
      <c r="M437" s="156" t="s">
        <v>477</v>
      </c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</row>
    <row r="438">
      <c r="A438" s="156">
        <v>7.290008464109E12</v>
      </c>
      <c r="B438" s="157" t="s">
        <v>6832</v>
      </c>
      <c r="C438" s="156">
        <v>0.06</v>
      </c>
      <c r="D438" s="156">
        <v>0.228</v>
      </c>
      <c r="E438" s="156">
        <v>0.06</v>
      </c>
      <c r="F438" s="157"/>
      <c r="G438" s="157"/>
      <c r="H438" s="157"/>
      <c r="I438" s="157"/>
      <c r="J438" s="157"/>
      <c r="K438" s="54"/>
      <c r="L438" s="157" t="s">
        <v>6832</v>
      </c>
      <c r="M438" s="159" t="s">
        <v>6832</v>
      </c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</row>
    <row r="439">
      <c r="A439" s="156">
        <v>7.290008464024E12</v>
      </c>
      <c r="B439" s="157" t="s">
        <v>6833</v>
      </c>
      <c r="C439" s="156">
        <v>0.065</v>
      </c>
      <c r="D439" s="156">
        <v>0.17</v>
      </c>
      <c r="E439" s="156">
        <v>0.065</v>
      </c>
      <c r="F439" s="157"/>
      <c r="G439" s="157"/>
      <c r="H439" s="157"/>
      <c r="I439" s="157"/>
      <c r="J439" s="157"/>
      <c r="K439" s="54"/>
      <c r="L439" s="157" t="s">
        <v>6833</v>
      </c>
      <c r="M439" s="159" t="s">
        <v>6833</v>
      </c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</row>
    <row r="440">
      <c r="A440" s="156">
        <v>7.29001358524E12</v>
      </c>
      <c r="B440" s="156" t="s">
        <v>4447</v>
      </c>
      <c r="C440" s="156">
        <v>0.095</v>
      </c>
      <c r="D440" s="156">
        <v>0.333</v>
      </c>
      <c r="E440" s="156">
        <v>0.095</v>
      </c>
      <c r="F440" s="157"/>
      <c r="G440" s="157"/>
      <c r="H440" s="157"/>
      <c r="I440" s="157"/>
      <c r="J440" s="157"/>
      <c r="K440" s="54"/>
      <c r="L440" s="160" t="s">
        <v>4447</v>
      </c>
      <c r="M440" s="156" t="s">
        <v>4447</v>
      </c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</row>
    <row r="441">
      <c r="A441" s="156">
        <v>7.290013585257E12</v>
      </c>
      <c r="B441" s="156" t="s">
        <v>4473</v>
      </c>
      <c r="C441" s="156">
        <v>0.065</v>
      </c>
      <c r="D441" s="156">
        <v>0.24</v>
      </c>
      <c r="E441" s="156">
        <v>0.065</v>
      </c>
      <c r="F441" s="157"/>
      <c r="G441" s="157"/>
      <c r="H441" s="157"/>
      <c r="I441" s="157"/>
      <c r="J441" s="157"/>
      <c r="K441" s="54"/>
      <c r="L441" s="160" t="s">
        <v>4473</v>
      </c>
      <c r="M441" s="156" t="s">
        <v>4473</v>
      </c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</row>
    <row r="442">
      <c r="A442" s="156">
        <v>7.290013038432E12</v>
      </c>
      <c r="B442" s="156" t="s">
        <v>134</v>
      </c>
      <c r="C442" s="156">
        <v>0.09999999</v>
      </c>
      <c r="D442" s="156">
        <v>0.35</v>
      </c>
      <c r="E442" s="156">
        <v>0.09</v>
      </c>
      <c r="F442" s="157"/>
      <c r="G442" s="157"/>
      <c r="H442" s="157"/>
      <c r="I442" s="157"/>
      <c r="J442" s="157"/>
      <c r="K442" s="54"/>
      <c r="L442" s="156" t="s">
        <v>134</v>
      </c>
      <c r="M442" s="156" t="s">
        <v>134</v>
      </c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</row>
    <row r="443">
      <c r="A443" s="156">
        <v>7.290008464222E12</v>
      </c>
      <c r="B443" s="157" t="s">
        <v>6834</v>
      </c>
      <c r="C443" s="156">
        <v>0.065</v>
      </c>
      <c r="D443" s="156">
        <v>0.17</v>
      </c>
      <c r="E443" s="156">
        <v>0.065</v>
      </c>
      <c r="F443" s="157"/>
      <c r="G443" s="157"/>
      <c r="H443" s="157"/>
      <c r="I443" s="157"/>
      <c r="J443" s="157"/>
      <c r="K443" s="54"/>
      <c r="L443" s="157" t="s">
        <v>6834</v>
      </c>
      <c r="M443" s="159" t="s">
        <v>6834</v>
      </c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</row>
    <row r="444">
      <c r="A444" s="156">
        <v>7.290013585394E12</v>
      </c>
      <c r="B444" s="156" t="s">
        <v>796</v>
      </c>
      <c r="C444" s="156">
        <v>0.095</v>
      </c>
      <c r="D444" s="156">
        <v>0.28</v>
      </c>
      <c r="E444" s="156">
        <v>0.095</v>
      </c>
      <c r="F444" s="157"/>
      <c r="G444" s="157"/>
      <c r="H444" s="157"/>
      <c r="I444" s="157"/>
      <c r="J444" s="157"/>
      <c r="K444" s="54"/>
      <c r="L444" s="156" t="s">
        <v>796</v>
      </c>
      <c r="M444" s="156" t="s">
        <v>796</v>
      </c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</row>
    <row r="445">
      <c r="A445" s="156">
        <v>7.290013585387E12</v>
      </c>
      <c r="B445" s="156" t="s">
        <v>831</v>
      </c>
      <c r="C445" s="156">
        <v>0.095</v>
      </c>
      <c r="D445" s="156">
        <v>0.28</v>
      </c>
      <c r="E445" s="156">
        <v>0.095</v>
      </c>
      <c r="F445" s="157"/>
      <c r="G445" s="157"/>
      <c r="H445" s="157"/>
      <c r="I445" s="157"/>
      <c r="J445" s="157"/>
      <c r="K445" s="54"/>
      <c r="L445" s="160" t="s">
        <v>831</v>
      </c>
      <c r="M445" s="156" t="s">
        <v>831</v>
      </c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</row>
    <row r="446">
      <c r="A446" s="156">
        <v>7.290011018474E12</v>
      </c>
      <c r="B446" s="156" t="s">
        <v>4391</v>
      </c>
      <c r="C446" s="156">
        <v>0.055</v>
      </c>
      <c r="D446" s="156">
        <v>0.239</v>
      </c>
      <c r="E446" s="156">
        <v>0.055</v>
      </c>
      <c r="F446" s="157"/>
      <c r="G446" s="157"/>
      <c r="H446" s="157"/>
      <c r="I446" s="157"/>
      <c r="J446" s="157"/>
      <c r="K446" s="54"/>
      <c r="L446" s="160" t="s">
        <v>4391</v>
      </c>
      <c r="M446" s="156" t="s">
        <v>4391</v>
      </c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</row>
    <row r="447">
      <c r="A447" s="156">
        <v>7.290008464895E12</v>
      </c>
      <c r="B447" s="157" t="s">
        <v>6835</v>
      </c>
      <c r="C447" s="156">
        <v>0.06</v>
      </c>
      <c r="D447" s="156">
        <v>0.193</v>
      </c>
      <c r="E447" s="156">
        <v>0.06</v>
      </c>
      <c r="F447" s="157"/>
      <c r="G447" s="157"/>
      <c r="H447" s="157"/>
      <c r="I447" s="157"/>
      <c r="J447" s="157"/>
      <c r="K447" s="54"/>
      <c r="L447" s="157" t="s">
        <v>6835</v>
      </c>
      <c r="M447" s="159" t="s">
        <v>6835</v>
      </c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</row>
    <row r="448">
      <c r="A448" s="156">
        <v>7.290008464963E12</v>
      </c>
      <c r="B448" s="157" t="s">
        <v>6836</v>
      </c>
      <c r="C448" s="156">
        <v>0.06</v>
      </c>
      <c r="D448" s="156">
        <v>0.193</v>
      </c>
      <c r="E448" s="156">
        <v>0.06</v>
      </c>
      <c r="F448" s="157"/>
      <c r="G448" s="157"/>
      <c r="H448" s="157"/>
      <c r="I448" s="157"/>
      <c r="J448" s="157"/>
      <c r="K448" s="54"/>
      <c r="L448" s="157" t="s">
        <v>6836</v>
      </c>
      <c r="M448" s="159" t="s">
        <v>6836</v>
      </c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</row>
    <row r="449">
      <c r="A449" s="156">
        <v>7.290010237562E12</v>
      </c>
      <c r="B449" s="156" t="s">
        <v>2818</v>
      </c>
      <c r="C449" s="156">
        <v>0.065</v>
      </c>
      <c r="D449" s="156">
        <v>0.24</v>
      </c>
      <c r="E449" s="156">
        <v>0.065</v>
      </c>
      <c r="F449" s="157"/>
      <c r="G449" s="157"/>
      <c r="H449" s="157"/>
      <c r="I449" s="157"/>
      <c r="J449" s="157"/>
      <c r="K449" s="54"/>
      <c r="L449" s="160" t="s">
        <v>2818</v>
      </c>
      <c r="M449" s="156" t="s">
        <v>2818</v>
      </c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</row>
    <row r="450">
      <c r="A450" s="156">
        <v>7.290014791879E12</v>
      </c>
      <c r="B450" s="156" t="s">
        <v>1516</v>
      </c>
      <c r="C450" s="156">
        <v>0.066</v>
      </c>
      <c r="D450" s="156">
        <v>0.202</v>
      </c>
      <c r="E450" s="156">
        <v>0.066</v>
      </c>
      <c r="F450" s="157"/>
      <c r="G450" s="157"/>
      <c r="H450" s="157"/>
      <c r="I450" s="157"/>
      <c r="J450" s="157"/>
      <c r="K450" s="54"/>
      <c r="L450" s="160" t="s">
        <v>1516</v>
      </c>
      <c r="M450" s="156" t="s">
        <v>1516</v>
      </c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</row>
    <row r="451">
      <c r="A451" s="156">
        <v>7.290014791848E12</v>
      </c>
      <c r="B451" s="156" t="s">
        <v>1537</v>
      </c>
      <c r="C451" s="156">
        <v>0.066</v>
      </c>
      <c r="D451" s="156">
        <v>0.202</v>
      </c>
      <c r="E451" s="156">
        <v>0.066</v>
      </c>
      <c r="F451" s="157"/>
      <c r="G451" s="157"/>
      <c r="H451" s="157"/>
      <c r="I451" s="157"/>
      <c r="J451" s="157"/>
      <c r="K451" s="54"/>
      <c r="L451" s="160" t="s">
        <v>1537</v>
      </c>
      <c r="M451" s="156" t="s">
        <v>1537</v>
      </c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</row>
    <row r="452">
      <c r="A452" s="156">
        <v>7.290014791787E12</v>
      </c>
      <c r="B452" s="156" t="s">
        <v>1543</v>
      </c>
      <c r="C452" s="156">
        <v>0.0955</v>
      </c>
      <c r="D452" s="156">
        <v>0.278</v>
      </c>
      <c r="E452" s="156">
        <v>0.0955</v>
      </c>
      <c r="F452" s="157"/>
      <c r="G452" s="157"/>
      <c r="H452" s="157"/>
      <c r="I452" s="157"/>
      <c r="J452" s="157"/>
      <c r="K452" s="54"/>
      <c r="L452" s="160" t="s">
        <v>1543</v>
      </c>
      <c r="M452" s="156" t="s">
        <v>1543</v>
      </c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</row>
    <row r="453">
      <c r="A453" s="156">
        <v>7.290014791817E12</v>
      </c>
      <c r="B453" s="156" t="s">
        <v>1523</v>
      </c>
      <c r="C453" s="156">
        <v>0.0955</v>
      </c>
      <c r="D453" s="156">
        <v>0.278</v>
      </c>
      <c r="E453" s="156">
        <v>0.0955</v>
      </c>
      <c r="F453" s="157"/>
      <c r="G453" s="157"/>
      <c r="H453" s="157"/>
      <c r="I453" s="157"/>
      <c r="J453" s="157"/>
      <c r="K453" s="54"/>
      <c r="L453" s="160" t="s">
        <v>1523</v>
      </c>
      <c r="M453" s="156" t="s">
        <v>1523</v>
      </c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</row>
    <row r="454">
      <c r="A454" s="156">
        <v>7.2900147918E12</v>
      </c>
      <c r="B454" s="156" t="s">
        <v>1531</v>
      </c>
      <c r="C454" s="156">
        <v>0.0955</v>
      </c>
      <c r="D454" s="156">
        <v>0.278</v>
      </c>
      <c r="E454" s="156">
        <v>0.0955</v>
      </c>
      <c r="F454" s="157"/>
      <c r="G454" s="157"/>
      <c r="H454" s="157"/>
      <c r="I454" s="157"/>
      <c r="J454" s="157"/>
      <c r="K454" s="54"/>
      <c r="L454" s="160" t="s">
        <v>1531</v>
      </c>
      <c r="M454" s="156" t="s">
        <v>1531</v>
      </c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</row>
    <row r="455">
      <c r="A455" s="156">
        <v>7.290012404238E12</v>
      </c>
      <c r="B455" s="156" t="s">
        <v>4181</v>
      </c>
      <c r="C455" s="156">
        <v>0.09</v>
      </c>
      <c r="D455" s="156">
        <v>0.329</v>
      </c>
      <c r="E455" s="156">
        <v>0.09</v>
      </c>
      <c r="F455" s="157"/>
      <c r="G455" s="157"/>
      <c r="H455" s="157"/>
      <c r="I455" s="157"/>
      <c r="J455" s="157"/>
      <c r="K455" s="54"/>
      <c r="L455" s="156" t="s">
        <v>4181</v>
      </c>
      <c r="M455" s="156" t="s">
        <v>4181</v>
      </c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</row>
    <row r="456">
      <c r="A456" s="156">
        <v>7.290013702463E12</v>
      </c>
      <c r="B456" s="156" t="s">
        <v>4147</v>
      </c>
      <c r="C456" s="156">
        <v>0.09</v>
      </c>
      <c r="D456" s="156">
        <v>0.331</v>
      </c>
      <c r="E456" s="156">
        <v>0.09</v>
      </c>
      <c r="F456" s="157"/>
      <c r="G456" s="157"/>
      <c r="H456" s="157"/>
      <c r="I456" s="157"/>
      <c r="J456" s="157"/>
      <c r="K456" s="54"/>
      <c r="L456" s="160" t="s">
        <v>4147</v>
      </c>
      <c r="M456" s="156" t="s">
        <v>4147</v>
      </c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</row>
    <row r="457">
      <c r="A457" s="156">
        <v>7.290013702418E12</v>
      </c>
      <c r="B457" s="156" t="s">
        <v>4202</v>
      </c>
      <c r="C457" s="156">
        <v>0.065</v>
      </c>
      <c r="D457" s="156">
        <v>0.221</v>
      </c>
      <c r="E457" s="156">
        <v>0.065</v>
      </c>
      <c r="F457" s="157"/>
      <c r="G457" s="157"/>
      <c r="H457" s="157"/>
      <c r="I457" s="157"/>
      <c r="J457" s="157"/>
      <c r="K457" s="54"/>
      <c r="L457" s="160" t="s">
        <v>4202</v>
      </c>
      <c r="M457" s="156" t="s">
        <v>4202</v>
      </c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</row>
    <row r="458">
      <c r="A458" s="156">
        <v>7.290013702425E12</v>
      </c>
      <c r="B458" s="156" t="s">
        <v>4133</v>
      </c>
      <c r="C458" s="156">
        <v>0.065</v>
      </c>
      <c r="D458" s="156">
        <v>0.221</v>
      </c>
      <c r="E458" s="156">
        <v>0.065</v>
      </c>
      <c r="F458" s="157"/>
      <c r="G458" s="157"/>
      <c r="H458" s="157"/>
      <c r="I458" s="157"/>
      <c r="J458" s="157"/>
      <c r="K458" s="54"/>
      <c r="L458" s="160" t="s">
        <v>4133</v>
      </c>
      <c r="M458" s="156" t="s">
        <v>4133</v>
      </c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</row>
    <row r="459">
      <c r="A459" s="156">
        <v>7.290014791572E12</v>
      </c>
      <c r="B459" s="156" t="s">
        <v>4163</v>
      </c>
      <c r="C459" s="156">
        <v>0.065</v>
      </c>
      <c r="D459" s="156">
        <v>0.221</v>
      </c>
      <c r="E459" s="156">
        <v>0.065</v>
      </c>
      <c r="F459" s="157"/>
      <c r="G459" s="157"/>
      <c r="H459" s="157"/>
      <c r="I459" s="157"/>
      <c r="J459" s="157"/>
      <c r="K459" s="54"/>
      <c r="L459" s="160" t="s">
        <v>4163</v>
      </c>
      <c r="M459" s="156" t="s">
        <v>4163</v>
      </c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</row>
    <row r="460">
      <c r="A460" s="156">
        <v>7.290011051358E12</v>
      </c>
      <c r="B460" s="156" t="s">
        <v>4226</v>
      </c>
      <c r="C460" s="156">
        <v>0.053</v>
      </c>
      <c r="D460" s="156">
        <v>0.196</v>
      </c>
      <c r="E460" s="156">
        <v>0.053</v>
      </c>
      <c r="F460" s="157"/>
      <c r="G460" s="157"/>
      <c r="H460" s="157"/>
      <c r="I460" s="157"/>
      <c r="J460" s="157"/>
      <c r="K460" s="54"/>
      <c r="L460" s="160" t="s">
        <v>4226</v>
      </c>
      <c r="M460" s="156" t="s">
        <v>4226</v>
      </c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</row>
    <row r="461">
      <c r="A461" s="156">
        <v>7.290014791626E12</v>
      </c>
      <c r="B461" s="156" t="s">
        <v>4232</v>
      </c>
      <c r="C461" s="156">
        <v>0.053</v>
      </c>
      <c r="D461" s="156">
        <v>0.196</v>
      </c>
      <c r="E461" s="156">
        <v>0.053</v>
      </c>
      <c r="F461" s="157"/>
      <c r="G461" s="157"/>
      <c r="H461" s="157"/>
      <c r="I461" s="157"/>
      <c r="J461" s="157"/>
      <c r="K461" s="54"/>
      <c r="L461" s="160" t="s">
        <v>4232</v>
      </c>
      <c r="M461" s="156" t="s">
        <v>4232</v>
      </c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</row>
    <row r="462">
      <c r="A462" s="156">
        <v>7.290013585653E12</v>
      </c>
      <c r="B462" s="156" t="s">
        <v>3752</v>
      </c>
      <c r="C462" s="156">
        <v>0.07</v>
      </c>
      <c r="D462" s="156">
        <v>0.18</v>
      </c>
      <c r="E462" s="156">
        <v>0.07</v>
      </c>
      <c r="F462" s="157"/>
      <c r="G462" s="157"/>
      <c r="H462" s="157"/>
      <c r="I462" s="157"/>
      <c r="J462" s="157"/>
      <c r="K462" s="54"/>
      <c r="L462" s="160" t="s">
        <v>3752</v>
      </c>
      <c r="M462" s="156" t="s">
        <v>3752</v>
      </c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</row>
    <row r="463">
      <c r="A463" s="156">
        <v>7.290016006759E12</v>
      </c>
      <c r="B463" s="156" t="s">
        <v>4433</v>
      </c>
      <c r="C463" s="156">
        <v>0.065</v>
      </c>
      <c r="D463" s="156">
        <v>0.172</v>
      </c>
      <c r="E463" s="156">
        <v>0.065</v>
      </c>
      <c r="F463" s="157"/>
      <c r="G463" s="157"/>
      <c r="H463" s="157"/>
      <c r="I463" s="157"/>
      <c r="J463" s="157"/>
      <c r="K463" s="54"/>
      <c r="L463" s="160" t="s">
        <v>4433</v>
      </c>
      <c r="M463" s="156" t="s">
        <v>4433</v>
      </c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</row>
    <row r="464">
      <c r="A464" s="156">
        <v>7.290013585684E12</v>
      </c>
      <c r="B464" s="156" t="s">
        <v>3758</v>
      </c>
      <c r="C464" s="156">
        <v>0.07</v>
      </c>
      <c r="D464" s="156">
        <v>0.18</v>
      </c>
      <c r="E464" s="156">
        <v>0.07</v>
      </c>
      <c r="F464" s="157"/>
      <c r="G464" s="157"/>
      <c r="H464" s="157"/>
      <c r="I464" s="157"/>
      <c r="J464" s="157"/>
      <c r="K464" s="54"/>
      <c r="L464" s="160" t="s">
        <v>3758</v>
      </c>
      <c r="M464" s="156" t="s">
        <v>3758</v>
      </c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</row>
    <row r="465">
      <c r="A465" s="156">
        <v>7.290016006773E12</v>
      </c>
      <c r="B465" s="156" t="s">
        <v>4421</v>
      </c>
      <c r="C465" s="156">
        <v>0.065</v>
      </c>
      <c r="D465" s="156">
        <v>0.172</v>
      </c>
      <c r="E465" s="156">
        <v>0.065</v>
      </c>
      <c r="F465" s="157"/>
      <c r="G465" s="157"/>
      <c r="H465" s="157"/>
      <c r="I465" s="157"/>
      <c r="J465" s="157"/>
      <c r="K465" s="54"/>
      <c r="L465" s="160" t="s">
        <v>4421</v>
      </c>
      <c r="M465" s="156" t="s">
        <v>4421</v>
      </c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</row>
    <row r="466">
      <c r="A466" s="156">
        <v>5.035766044673E12</v>
      </c>
      <c r="B466" s="156" t="s">
        <v>4519</v>
      </c>
      <c r="C466" s="156">
        <v>0.055</v>
      </c>
      <c r="D466" s="156">
        <v>0.239</v>
      </c>
      <c r="E466" s="156">
        <v>0.055</v>
      </c>
      <c r="F466" s="157"/>
      <c r="G466" s="157"/>
      <c r="H466" s="157"/>
      <c r="I466" s="157"/>
      <c r="J466" s="157"/>
      <c r="K466" s="54"/>
      <c r="L466" s="160" t="s">
        <v>4519</v>
      </c>
      <c r="M466" s="156" t="s">
        <v>4519</v>
      </c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</row>
    <row r="467">
      <c r="A467" s="156">
        <v>7.290013585677E12</v>
      </c>
      <c r="B467" s="156" t="s">
        <v>3743</v>
      </c>
      <c r="C467" s="156">
        <v>0.07</v>
      </c>
      <c r="D467" s="156">
        <v>0.18</v>
      </c>
      <c r="E467" s="156">
        <v>0.07</v>
      </c>
      <c r="F467" s="157"/>
      <c r="G467" s="157"/>
      <c r="H467" s="157"/>
      <c r="I467" s="157"/>
      <c r="J467" s="157"/>
      <c r="K467" s="54"/>
      <c r="L467" s="160" t="s">
        <v>3743</v>
      </c>
      <c r="M467" s="156" t="s">
        <v>3743</v>
      </c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</row>
    <row r="468">
      <c r="A468" s="156">
        <v>7.290008464208E12</v>
      </c>
      <c r="B468" s="157" t="s">
        <v>6837</v>
      </c>
      <c r="C468" s="156">
        <v>0.055</v>
      </c>
      <c r="D468" s="156">
        <v>0.239</v>
      </c>
      <c r="E468" s="156">
        <v>0.055</v>
      </c>
      <c r="F468" s="157"/>
      <c r="G468" s="157"/>
      <c r="H468" s="157"/>
      <c r="I468" s="157"/>
      <c r="J468" s="157"/>
      <c r="K468" s="54"/>
      <c r="L468" s="157" t="s">
        <v>6837</v>
      </c>
      <c r="M468" s="159" t="s">
        <v>6837</v>
      </c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</row>
    <row r="469">
      <c r="A469" s="156">
        <v>7.290110110468E12</v>
      </c>
      <c r="B469" s="156" t="s">
        <v>3812</v>
      </c>
      <c r="C469" s="156">
        <v>0.06</v>
      </c>
      <c r="D469" s="156">
        <v>0.193</v>
      </c>
      <c r="E469" s="156">
        <v>0.06</v>
      </c>
      <c r="F469" s="157"/>
      <c r="G469" s="157"/>
      <c r="H469" s="157"/>
      <c r="I469" s="157"/>
      <c r="J469" s="157"/>
      <c r="K469" s="54"/>
      <c r="L469" s="156" t="s">
        <v>3812</v>
      </c>
      <c r="M469" s="156" t="s">
        <v>3812</v>
      </c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</row>
    <row r="470">
      <c r="A470" s="156">
        <v>7.290110110475E12</v>
      </c>
      <c r="B470" s="156" t="s">
        <v>3818</v>
      </c>
      <c r="C470" s="156">
        <v>0.06</v>
      </c>
      <c r="D470" s="156">
        <v>0.193</v>
      </c>
      <c r="E470" s="156">
        <v>0.06</v>
      </c>
      <c r="F470" s="157"/>
      <c r="G470" s="157"/>
      <c r="H470" s="157"/>
      <c r="I470" s="157"/>
      <c r="J470" s="157"/>
      <c r="K470" s="54"/>
      <c r="L470" s="156" t="s">
        <v>3818</v>
      </c>
      <c r="M470" s="156" t="s">
        <v>3818</v>
      </c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</row>
    <row r="471">
      <c r="A471" s="156">
        <v>7.290015493208E12</v>
      </c>
      <c r="B471" s="156" t="s">
        <v>3094</v>
      </c>
      <c r="C471" s="156">
        <v>0.068</v>
      </c>
      <c r="D471" s="156">
        <v>0.2</v>
      </c>
      <c r="E471" s="156">
        <v>0.068</v>
      </c>
      <c r="F471" s="157"/>
      <c r="G471" s="157"/>
      <c r="H471" s="157"/>
      <c r="I471" s="157"/>
      <c r="J471" s="157"/>
      <c r="K471" s="54"/>
      <c r="L471" s="160" t="s">
        <v>3094</v>
      </c>
      <c r="M471" s="156" t="s">
        <v>3094</v>
      </c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</row>
    <row r="472">
      <c r="A472" s="156">
        <v>5.410769800097E12</v>
      </c>
      <c r="B472" s="156" t="s">
        <v>613</v>
      </c>
      <c r="C472" s="156">
        <v>0.06</v>
      </c>
      <c r="D472" s="156">
        <v>0.158</v>
      </c>
      <c r="E472" s="156">
        <v>0.06</v>
      </c>
      <c r="F472" s="157"/>
      <c r="G472" s="157"/>
      <c r="H472" s="157"/>
      <c r="I472" s="157"/>
      <c r="J472" s="157"/>
      <c r="K472" s="54"/>
      <c r="L472" s="156" t="s">
        <v>613</v>
      </c>
      <c r="M472" s="156" t="s">
        <v>613</v>
      </c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</row>
    <row r="473">
      <c r="A473" s="156">
        <v>7.290015493192E12</v>
      </c>
      <c r="B473" s="156" t="s">
        <v>3101</v>
      </c>
      <c r="C473" s="156">
        <v>0.068</v>
      </c>
      <c r="D473" s="156">
        <v>0.2</v>
      </c>
      <c r="E473" s="156">
        <v>0.068</v>
      </c>
      <c r="F473" s="157"/>
      <c r="G473" s="157"/>
      <c r="H473" s="157"/>
      <c r="I473" s="157"/>
      <c r="J473" s="157"/>
      <c r="K473" s="54"/>
      <c r="L473" s="160" t="s">
        <v>3101</v>
      </c>
      <c r="M473" s="156" t="s">
        <v>3101</v>
      </c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</row>
    <row r="474">
      <c r="A474" s="156">
        <v>7.290012921025E12</v>
      </c>
      <c r="B474" s="156" t="s">
        <v>2500</v>
      </c>
      <c r="C474" s="156">
        <v>0.06</v>
      </c>
      <c r="D474" s="156">
        <v>0.228</v>
      </c>
      <c r="E474" s="156">
        <v>0.06</v>
      </c>
      <c r="F474" s="157"/>
      <c r="G474" s="157"/>
      <c r="H474" s="157"/>
      <c r="I474" s="157"/>
      <c r="J474" s="157"/>
      <c r="K474" s="54"/>
      <c r="L474" s="160" t="s">
        <v>2500</v>
      </c>
      <c r="M474" s="156" t="s">
        <v>2500</v>
      </c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</row>
    <row r="475">
      <c r="A475" s="156">
        <v>7.290012921032E12</v>
      </c>
      <c r="B475" s="156" t="s">
        <v>2506</v>
      </c>
      <c r="C475" s="156">
        <v>0.06</v>
      </c>
      <c r="D475" s="156">
        <v>0.228</v>
      </c>
      <c r="E475" s="156">
        <v>0.06</v>
      </c>
      <c r="F475" s="157"/>
      <c r="G475" s="157"/>
      <c r="H475" s="157"/>
      <c r="I475" s="157"/>
      <c r="J475" s="157"/>
      <c r="K475" s="54"/>
      <c r="L475" s="160" t="s">
        <v>2506</v>
      </c>
      <c r="M475" s="156" t="s">
        <v>2506</v>
      </c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</row>
    <row r="476">
      <c r="A476" s="156">
        <v>8.850389115312E12</v>
      </c>
      <c r="B476" s="156" t="s">
        <v>4059</v>
      </c>
      <c r="C476" s="156">
        <v>0.053</v>
      </c>
      <c r="D476" s="156">
        <v>0.193</v>
      </c>
      <c r="E476" s="156">
        <v>0.053</v>
      </c>
      <c r="F476" s="157"/>
      <c r="G476" s="157"/>
      <c r="H476" s="157"/>
      <c r="I476" s="157"/>
      <c r="J476" s="157"/>
      <c r="K476" s="54"/>
      <c r="L476" s="160" t="s">
        <v>4059</v>
      </c>
      <c r="M476" s="156" t="s">
        <v>4059</v>
      </c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</row>
    <row r="477">
      <c r="A477" s="156">
        <v>4.710068001715E12</v>
      </c>
      <c r="B477" s="156" t="s">
        <v>2583</v>
      </c>
      <c r="C477" s="156">
        <v>0.065</v>
      </c>
      <c r="D477" s="156">
        <v>0.095</v>
      </c>
      <c r="E477" s="156">
        <v>0.065</v>
      </c>
      <c r="F477" s="157"/>
      <c r="G477" s="157"/>
      <c r="H477" s="157"/>
      <c r="I477" s="157"/>
      <c r="J477" s="157"/>
      <c r="K477" s="54"/>
      <c r="L477" s="160" t="s">
        <v>2583</v>
      </c>
      <c r="M477" s="156" t="s">
        <v>2583</v>
      </c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</row>
    <row r="478">
      <c r="A478" s="156">
        <v>7.290110110635E12</v>
      </c>
      <c r="B478" s="156" t="s">
        <v>4467</v>
      </c>
      <c r="C478" s="156">
        <v>0.065</v>
      </c>
      <c r="D478" s="156">
        <v>0.24</v>
      </c>
      <c r="E478" s="156">
        <v>0.065</v>
      </c>
      <c r="F478" s="157"/>
      <c r="G478" s="157"/>
      <c r="H478" s="157"/>
      <c r="I478" s="157"/>
      <c r="J478" s="157"/>
      <c r="K478" s="54"/>
      <c r="L478" s="160" t="s">
        <v>4467</v>
      </c>
      <c r="M478" s="156" t="s">
        <v>4467</v>
      </c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</row>
    <row r="479">
      <c r="A479" s="156">
        <v>7.290110110611E12</v>
      </c>
      <c r="B479" s="156" t="s">
        <v>4461</v>
      </c>
      <c r="C479" s="156">
        <v>0.095</v>
      </c>
      <c r="D479" s="156">
        <v>0.333</v>
      </c>
      <c r="E479" s="156">
        <v>0.095</v>
      </c>
      <c r="F479" s="157"/>
      <c r="G479" s="157"/>
      <c r="H479" s="157"/>
      <c r="I479" s="157"/>
      <c r="J479" s="157"/>
      <c r="K479" s="54"/>
      <c r="L479" s="156" t="s">
        <v>4461</v>
      </c>
      <c r="M479" s="156" t="s">
        <v>4461</v>
      </c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</row>
    <row r="480">
      <c r="A480" s="156">
        <v>7.29000233149E12</v>
      </c>
      <c r="B480" s="157" t="s">
        <v>6838</v>
      </c>
      <c r="C480" s="156">
        <v>0.0868</v>
      </c>
      <c r="D480" s="156">
        <v>0.244</v>
      </c>
      <c r="E480" s="156">
        <v>0.0868</v>
      </c>
      <c r="F480" s="157"/>
      <c r="G480" s="157"/>
      <c r="H480" s="157"/>
      <c r="I480" s="157"/>
      <c r="J480" s="157"/>
      <c r="K480" s="54"/>
      <c r="L480" s="157" t="s">
        <v>6838</v>
      </c>
      <c r="M480" s="159" t="s">
        <v>6838</v>
      </c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</row>
    <row r="481">
      <c r="A481" s="156">
        <v>7.50106419669E12</v>
      </c>
      <c r="B481" s="156" t="s">
        <v>921</v>
      </c>
      <c r="C481" s="156">
        <v>0.055</v>
      </c>
      <c r="D481" s="156">
        <v>0.16</v>
      </c>
      <c r="E481" s="156">
        <v>0.055</v>
      </c>
      <c r="F481" s="157"/>
      <c r="G481" s="157"/>
      <c r="H481" s="157"/>
      <c r="I481" s="157"/>
      <c r="J481" s="157"/>
      <c r="K481" s="54"/>
      <c r="L481" s="160" t="s">
        <v>921</v>
      </c>
      <c r="M481" s="156" t="s">
        <v>921</v>
      </c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</row>
    <row r="482">
      <c r="A482" s="156">
        <v>5.060517886547E12</v>
      </c>
      <c r="B482" s="156" t="s">
        <v>2837</v>
      </c>
      <c r="C482" s="156">
        <v>0.066</v>
      </c>
      <c r="D482" s="156">
        <v>0.168</v>
      </c>
      <c r="E482" s="156">
        <v>0.066</v>
      </c>
      <c r="F482" s="157"/>
      <c r="G482" s="157"/>
      <c r="H482" s="157"/>
      <c r="I482" s="157"/>
      <c r="J482" s="157"/>
      <c r="K482" s="54"/>
      <c r="L482" s="160" t="s">
        <v>2837</v>
      </c>
      <c r="M482" s="156" t="s">
        <v>2837</v>
      </c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</row>
    <row r="483">
      <c r="A483" s="156">
        <v>5.060517886516E12</v>
      </c>
      <c r="B483" s="156" t="s">
        <v>2855</v>
      </c>
      <c r="C483" s="156">
        <v>0.066</v>
      </c>
      <c r="D483" s="156">
        <v>0.168</v>
      </c>
      <c r="E483" s="156">
        <v>0.066</v>
      </c>
      <c r="F483" s="157"/>
      <c r="G483" s="157"/>
      <c r="H483" s="157"/>
      <c r="I483" s="157"/>
      <c r="J483" s="157"/>
      <c r="K483" s="54"/>
      <c r="L483" s="160" t="s">
        <v>2855</v>
      </c>
      <c r="M483" s="156" t="s">
        <v>2855</v>
      </c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</row>
    <row r="484">
      <c r="A484" s="156">
        <v>5.060517886486E12</v>
      </c>
      <c r="B484" s="156" t="s">
        <v>2843</v>
      </c>
      <c r="C484" s="156">
        <v>0.066</v>
      </c>
      <c r="D484" s="156">
        <v>0.168</v>
      </c>
      <c r="E484" s="156">
        <v>0.066</v>
      </c>
      <c r="F484" s="157"/>
      <c r="G484" s="157"/>
      <c r="H484" s="157"/>
      <c r="I484" s="157"/>
      <c r="J484" s="157"/>
      <c r="K484" s="54"/>
      <c r="L484" s="160" t="s">
        <v>2843</v>
      </c>
      <c r="M484" s="156" t="s">
        <v>2843</v>
      </c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</row>
    <row r="485">
      <c r="A485" s="156">
        <v>7.290000135113E12</v>
      </c>
      <c r="B485" s="157" t="s">
        <v>6839</v>
      </c>
      <c r="C485" s="156">
        <v>0.053</v>
      </c>
      <c r="D485" s="156">
        <v>0.134</v>
      </c>
      <c r="E485" s="156">
        <v>0.053</v>
      </c>
      <c r="F485" s="157"/>
      <c r="G485" s="157"/>
      <c r="H485" s="157"/>
      <c r="I485" s="157"/>
      <c r="J485" s="157"/>
      <c r="K485" s="54"/>
      <c r="L485" s="157" t="s">
        <v>6839</v>
      </c>
      <c r="M485" s="159" t="s">
        <v>6839</v>
      </c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</row>
    <row r="486">
      <c r="A486" s="156">
        <v>7.290000135052E12</v>
      </c>
      <c r="B486" s="157" t="s">
        <v>6840</v>
      </c>
      <c r="C486" s="156">
        <v>0.053</v>
      </c>
      <c r="D486" s="156">
        <v>0.134</v>
      </c>
      <c r="E486" s="156">
        <v>0.053</v>
      </c>
      <c r="F486" s="157"/>
      <c r="G486" s="157"/>
      <c r="H486" s="157"/>
      <c r="I486" s="157"/>
      <c r="J486" s="157"/>
      <c r="K486" s="54"/>
      <c r="L486" s="157" t="s">
        <v>6840</v>
      </c>
      <c r="M486" s="159" t="s">
        <v>6840</v>
      </c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</row>
    <row r="487">
      <c r="A487" s="156">
        <v>7.290000135045E12</v>
      </c>
      <c r="B487" s="157" t="s">
        <v>6840</v>
      </c>
      <c r="C487" s="156">
        <v>0.053</v>
      </c>
      <c r="D487" s="156">
        <v>0.134</v>
      </c>
      <c r="E487" s="156">
        <v>0.053</v>
      </c>
      <c r="F487" s="157"/>
      <c r="G487" s="157"/>
      <c r="H487" s="157"/>
      <c r="I487" s="157"/>
      <c r="J487" s="157"/>
      <c r="K487" s="54"/>
      <c r="L487" s="157" t="s">
        <v>6840</v>
      </c>
      <c r="M487" s="159" t="s">
        <v>6840</v>
      </c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52"/>
      <c r="Y487" s="152"/>
      <c r="Z487" s="152"/>
    </row>
    <row r="488">
      <c r="A488" s="156">
        <v>5.014379009972E12</v>
      </c>
      <c r="B488" s="156" t="s">
        <v>540</v>
      </c>
      <c r="C488" s="156">
        <v>0.055</v>
      </c>
      <c r="D488" s="156">
        <v>0.17</v>
      </c>
      <c r="E488" s="156">
        <v>0.055</v>
      </c>
      <c r="F488" s="157"/>
      <c r="G488" s="157"/>
      <c r="H488" s="157"/>
      <c r="I488" s="157"/>
      <c r="J488" s="157"/>
      <c r="K488" s="54"/>
      <c r="L488" s="160" t="s">
        <v>540</v>
      </c>
      <c r="M488" s="156" t="s">
        <v>540</v>
      </c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52"/>
      <c r="Y488" s="152"/>
      <c r="Z488" s="152"/>
    </row>
    <row r="489">
      <c r="A489" s="156">
        <v>4.2061939E7</v>
      </c>
      <c r="B489" s="156" t="s">
        <v>362</v>
      </c>
      <c r="C489" s="156">
        <v>0.06</v>
      </c>
      <c r="D489" s="156">
        <v>0.22</v>
      </c>
      <c r="E489" s="156">
        <v>0.06</v>
      </c>
      <c r="F489" s="157"/>
      <c r="G489" s="157"/>
      <c r="H489" s="157"/>
      <c r="I489" s="157"/>
      <c r="J489" s="157"/>
      <c r="K489" s="54"/>
      <c r="L489" s="156" t="s">
        <v>362</v>
      </c>
      <c r="M489" s="156" t="s">
        <v>362</v>
      </c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</row>
    <row r="490">
      <c r="A490" s="156">
        <v>5.411081003654E12</v>
      </c>
      <c r="B490" s="156" t="s">
        <v>6841</v>
      </c>
      <c r="C490" s="156">
        <v>0.06</v>
      </c>
      <c r="D490" s="156">
        <v>0.19</v>
      </c>
      <c r="E490" s="156">
        <v>0.06</v>
      </c>
      <c r="F490" s="157"/>
      <c r="G490" s="157"/>
      <c r="H490" s="157"/>
      <c r="I490" s="157"/>
      <c r="J490" s="157"/>
      <c r="K490" s="54"/>
      <c r="L490" s="160" t="s">
        <v>6841</v>
      </c>
      <c r="M490" s="156" t="s">
        <v>6841</v>
      </c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</row>
    <row r="491">
      <c r="A491" s="156">
        <v>4.710068001692E12</v>
      </c>
      <c r="B491" s="156" t="s">
        <v>2577</v>
      </c>
      <c r="C491" s="156">
        <v>0.065</v>
      </c>
      <c r="D491" s="156">
        <v>0.095</v>
      </c>
      <c r="E491" s="156">
        <v>0.065</v>
      </c>
      <c r="F491" s="157"/>
      <c r="G491" s="157"/>
      <c r="H491" s="157"/>
      <c r="I491" s="157"/>
      <c r="J491" s="157"/>
      <c r="K491" s="54"/>
      <c r="L491" s="160" t="s">
        <v>2577</v>
      </c>
      <c r="M491" s="156" t="s">
        <v>2577</v>
      </c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</row>
    <row r="492">
      <c r="A492" s="156">
        <v>4.710068001739E12</v>
      </c>
      <c r="B492" s="156" t="s">
        <v>2571</v>
      </c>
      <c r="C492" s="156">
        <v>0.065</v>
      </c>
      <c r="D492" s="156">
        <v>0.095</v>
      </c>
      <c r="E492" s="156">
        <v>0.065</v>
      </c>
      <c r="F492" s="157"/>
      <c r="G492" s="157"/>
      <c r="H492" s="157"/>
      <c r="I492" s="157"/>
      <c r="J492" s="157"/>
      <c r="K492" s="54"/>
      <c r="L492" s="160" t="s">
        <v>2571</v>
      </c>
      <c r="M492" s="156" t="s">
        <v>2571</v>
      </c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</row>
    <row r="493">
      <c r="A493" s="156">
        <v>7.290017888026E12</v>
      </c>
      <c r="B493" s="156" t="s">
        <v>1566</v>
      </c>
      <c r="C493" s="156">
        <v>0.065</v>
      </c>
      <c r="D493" s="156">
        <v>0.153</v>
      </c>
      <c r="E493" s="156">
        <v>0.065</v>
      </c>
      <c r="F493" s="157"/>
      <c r="G493" s="157"/>
      <c r="H493" s="157"/>
      <c r="I493" s="157"/>
      <c r="J493" s="157"/>
      <c r="K493" s="54"/>
      <c r="L493" s="160" t="s">
        <v>1566</v>
      </c>
      <c r="M493" s="156" t="s">
        <v>1566</v>
      </c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</row>
    <row r="494">
      <c r="A494" s="156">
        <v>7.290017888019E12</v>
      </c>
      <c r="B494" s="156" t="s">
        <v>1572</v>
      </c>
      <c r="C494" s="156">
        <v>0.065</v>
      </c>
      <c r="D494" s="156">
        <v>0.153</v>
      </c>
      <c r="E494" s="156">
        <v>0.065</v>
      </c>
      <c r="F494" s="157"/>
      <c r="G494" s="157"/>
      <c r="H494" s="157"/>
      <c r="I494" s="157"/>
      <c r="J494" s="157"/>
      <c r="K494" s="54"/>
      <c r="L494" s="160" t="s">
        <v>1572</v>
      </c>
      <c r="M494" s="156" t="s">
        <v>1572</v>
      </c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</row>
    <row r="495">
      <c r="A495" s="156">
        <v>7.290017888033E12</v>
      </c>
      <c r="B495" s="156" t="s">
        <v>1552</v>
      </c>
      <c r="C495" s="156">
        <v>0.065</v>
      </c>
      <c r="D495" s="156">
        <v>0.153</v>
      </c>
      <c r="E495" s="156">
        <v>0.065</v>
      </c>
      <c r="F495" s="157"/>
      <c r="G495" s="157"/>
      <c r="H495" s="157"/>
      <c r="I495" s="157"/>
      <c r="J495" s="157"/>
      <c r="K495" s="54"/>
      <c r="L495" s="160" t="s">
        <v>1552</v>
      </c>
      <c r="M495" s="156" t="s">
        <v>1552</v>
      </c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</row>
    <row r="496">
      <c r="A496" s="156">
        <v>7.290006644527E12</v>
      </c>
      <c r="B496" s="157" t="s">
        <v>6842</v>
      </c>
      <c r="C496" s="156">
        <v>0.066</v>
      </c>
      <c r="D496" s="156">
        <v>0.196</v>
      </c>
      <c r="E496" s="156">
        <v>0.066</v>
      </c>
      <c r="F496" s="157"/>
      <c r="G496" s="157"/>
      <c r="H496" s="157"/>
      <c r="I496" s="157"/>
      <c r="J496" s="157"/>
      <c r="K496" s="54"/>
      <c r="L496" s="157" t="s">
        <v>6842</v>
      </c>
      <c r="M496" s="159" t="s">
        <v>6842</v>
      </c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</row>
    <row r="497">
      <c r="A497" s="156">
        <v>7.29000664451E12</v>
      </c>
      <c r="B497" s="157" t="s">
        <v>6843</v>
      </c>
      <c r="C497" s="156">
        <v>0.066</v>
      </c>
      <c r="D497" s="156">
        <v>0.196</v>
      </c>
      <c r="E497" s="156">
        <v>0.066</v>
      </c>
      <c r="F497" s="157"/>
      <c r="G497" s="157"/>
      <c r="H497" s="157"/>
      <c r="I497" s="157"/>
      <c r="J497" s="157"/>
      <c r="K497" s="54"/>
      <c r="L497" s="157" t="s">
        <v>6843</v>
      </c>
      <c r="M497" s="159" t="s">
        <v>6843</v>
      </c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</row>
    <row r="498">
      <c r="A498" s="156">
        <v>7.290110112141E12</v>
      </c>
      <c r="B498" s="156" t="s">
        <v>1618</v>
      </c>
      <c r="C498" s="156">
        <v>0.07</v>
      </c>
      <c r="D498" s="156">
        <v>0.205</v>
      </c>
      <c r="E498" s="156">
        <v>0.02</v>
      </c>
      <c r="F498" s="157"/>
      <c r="G498" s="157"/>
      <c r="H498" s="157"/>
      <c r="I498" s="157"/>
      <c r="J498" s="157"/>
      <c r="K498" s="54"/>
      <c r="L498" s="160" t="s">
        <v>1618</v>
      </c>
      <c r="M498" s="156" t="s">
        <v>1618</v>
      </c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</row>
    <row r="499">
      <c r="A499" s="156">
        <v>6.1300875332E11</v>
      </c>
      <c r="B499" s="156" t="s">
        <v>154</v>
      </c>
      <c r="C499" s="156">
        <v>0.065</v>
      </c>
      <c r="D499" s="156">
        <v>0.2</v>
      </c>
      <c r="E499" s="156">
        <v>0.065</v>
      </c>
      <c r="F499" s="157"/>
      <c r="G499" s="157"/>
      <c r="H499" s="157"/>
      <c r="I499" s="157"/>
      <c r="J499" s="157"/>
      <c r="K499" s="54"/>
      <c r="L499" s="160" t="s">
        <v>154</v>
      </c>
      <c r="M499" s="156" t="s">
        <v>154</v>
      </c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52"/>
      <c r="Y499" s="152"/>
      <c r="Z499" s="152"/>
    </row>
    <row r="500">
      <c r="A500" s="156">
        <v>6.1300875329E11</v>
      </c>
      <c r="B500" s="156" t="s">
        <v>173</v>
      </c>
      <c r="C500" s="156">
        <v>0.065</v>
      </c>
      <c r="D500" s="156">
        <v>0.2</v>
      </c>
      <c r="E500" s="156">
        <v>0.065</v>
      </c>
      <c r="F500" s="157"/>
      <c r="G500" s="157"/>
      <c r="H500" s="157"/>
      <c r="I500" s="157"/>
      <c r="J500" s="157"/>
      <c r="K500" s="54"/>
      <c r="L500" s="160" t="s">
        <v>173</v>
      </c>
      <c r="M500" s="156" t="s">
        <v>173</v>
      </c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</row>
    <row r="501">
      <c r="A501" s="156">
        <v>6.13008753382E11</v>
      </c>
      <c r="B501" s="156" t="s">
        <v>146</v>
      </c>
      <c r="C501" s="156">
        <v>0.065</v>
      </c>
      <c r="D501" s="156">
        <v>0.2</v>
      </c>
      <c r="E501" s="156">
        <v>0.065</v>
      </c>
      <c r="F501" s="157"/>
      <c r="G501" s="157"/>
      <c r="H501" s="157"/>
      <c r="I501" s="157"/>
      <c r="J501" s="157"/>
      <c r="K501" s="54"/>
      <c r="L501" s="160" t="s">
        <v>146</v>
      </c>
      <c r="M501" s="156" t="s">
        <v>146</v>
      </c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</row>
    <row r="502">
      <c r="A502" s="156">
        <v>7.501013101393E12</v>
      </c>
      <c r="B502" s="156" t="s">
        <v>6844</v>
      </c>
      <c r="C502" s="156">
        <v>0.068</v>
      </c>
      <c r="D502" s="156">
        <v>0.175</v>
      </c>
      <c r="E502" s="156">
        <v>0.068</v>
      </c>
      <c r="F502" s="157"/>
      <c r="G502" s="157"/>
      <c r="H502" s="157"/>
      <c r="I502" s="157"/>
      <c r="J502" s="157"/>
      <c r="K502" s="54"/>
      <c r="L502" s="160" t="s">
        <v>6844</v>
      </c>
      <c r="M502" s="156" t="s">
        <v>6844</v>
      </c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</row>
    <row r="503">
      <c r="A503" s="156">
        <v>7.501013101355E12</v>
      </c>
      <c r="B503" s="156" t="s">
        <v>1952</v>
      </c>
      <c r="C503" s="156">
        <v>0.068</v>
      </c>
      <c r="D503" s="156">
        <v>0.175</v>
      </c>
      <c r="E503" s="156">
        <v>0.068</v>
      </c>
      <c r="F503" s="157"/>
      <c r="G503" s="157"/>
      <c r="H503" s="157"/>
      <c r="I503" s="157"/>
      <c r="J503" s="157"/>
      <c r="K503" s="54"/>
      <c r="L503" s="160" t="s">
        <v>1952</v>
      </c>
      <c r="M503" s="156" t="s">
        <v>1952</v>
      </c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</row>
    <row r="504">
      <c r="A504" s="156">
        <v>7.501013101348E12</v>
      </c>
      <c r="B504" s="156" t="s">
        <v>1976</v>
      </c>
      <c r="C504" s="156">
        <v>0.068</v>
      </c>
      <c r="D504" s="156">
        <v>0.175</v>
      </c>
      <c r="E504" s="156">
        <v>0.068</v>
      </c>
      <c r="F504" s="157"/>
      <c r="G504" s="157"/>
      <c r="H504" s="157"/>
      <c r="I504" s="157"/>
      <c r="J504" s="157"/>
      <c r="K504" s="54"/>
      <c r="L504" s="160" t="s">
        <v>1976</v>
      </c>
      <c r="M504" s="156" t="s">
        <v>1976</v>
      </c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</row>
    <row r="505">
      <c r="A505" s="156">
        <v>7.501013101362E12</v>
      </c>
      <c r="B505" s="156" t="s">
        <v>1995</v>
      </c>
      <c r="C505" s="156">
        <v>0.068</v>
      </c>
      <c r="D505" s="156">
        <v>0.175</v>
      </c>
      <c r="E505" s="156">
        <v>0.068</v>
      </c>
      <c r="F505" s="157"/>
      <c r="G505" s="157"/>
      <c r="H505" s="157"/>
      <c r="I505" s="157"/>
      <c r="J505" s="157"/>
      <c r="K505" s="54"/>
      <c r="L505" s="160" t="s">
        <v>1995</v>
      </c>
      <c r="M505" s="156" t="s">
        <v>1995</v>
      </c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</row>
    <row r="506">
      <c r="A506" s="156">
        <v>7.501013101447E12</v>
      </c>
      <c r="B506" s="156" t="s">
        <v>2002</v>
      </c>
      <c r="C506" s="156">
        <v>0.068</v>
      </c>
      <c r="D506" s="156">
        <v>0.175</v>
      </c>
      <c r="E506" s="156">
        <v>0.068</v>
      </c>
      <c r="F506" s="157"/>
      <c r="G506" s="157"/>
      <c r="H506" s="157"/>
      <c r="I506" s="157"/>
      <c r="J506" s="157"/>
      <c r="K506" s="54"/>
      <c r="L506" s="160" t="s">
        <v>2002</v>
      </c>
      <c r="M506" s="156" t="s">
        <v>2002</v>
      </c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</row>
    <row r="507">
      <c r="A507" s="156">
        <v>7.501013122053E12</v>
      </c>
      <c r="B507" s="156" t="s">
        <v>6845</v>
      </c>
      <c r="C507" s="156">
        <v>0.08</v>
      </c>
      <c r="D507" s="156">
        <v>0.24</v>
      </c>
      <c r="E507" s="156">
        <v>0.07</v>
      </c>
      <c r="F507" s="157"/>
      <c r="G507" s="157"/>
      <c r="H507" s="157"/>
      <c r="I507" s="157"/>
      <c r="J507" s="157"/>
      <c r="K507" s="54"/>
      <c r="L507" s="160" t="s">
        <v>6845</v>
      </c>
      <c r="M507" s="156" t="s">
        <v>6845</v>
      </c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</row>
    <row r="508">
      <c r="A508" s="156">
        <v>7.501013122114E12</v>
      </c>
      <c r="B508" s="156" t="s">
        <v>6846</v>
      </c>
      <c r="C508" s="156">
        <v>0.08</v>
      </c>
      <c r="D508" s="156">
        <v>0.24</v>
      </c>
      <c r="E508" s="156">
        <v>0.07</v>
      </c>
      <c r="F508" s="157"/>
      <c r="G508" s="157"/>
      <c r="H508" s="157"/>
      <c r="I508" s="157"/>
      <c r="J508" s="157"/>
      <c r="K508" s="54"/>
      <c r="L508" s="160" t="s">
        <v>6846</v>
      </c>
      <c r="M508" s="156" t="s">
        <v>6846</v>
      </c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</row>
    <row r="509">
      <c r="A509" s="156">
        <v>7.290016006377E12</v>
      </c>
      <c r="B509" s="156" t="s">
        <v>4157</v>
      </c>
      <c r="C509" s="156">
        <v>0.065</v>
      </c>
      <c r="D509" s="156">
        <v>0.221</v>
      </c>
      <c r="E509" s="156">
        <v>0.065</v>
      </c>
      <c r="F509" s="157"/>
      <c r="G509" s="157"/>
      <c r="H509" s="157"/>
      <c r="I509" s="157"/>
      <c r="J509" s="157"/>
      <c r="K509" s="54"/>
      <c r="L509" s="160" t="s">
        <v>4157</v>
      </c>
      <c r="M509" s="156" t="s">
        <v>4157</v>
      </c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</row>
    <row r="510">
      <c r="A510" s="156">
        <v>7.290000135151E12</v>
      </c>
      <c r="B510" s="157" t="s">
        <v>6847</v>
      </c>
      <c r="C510" s="156">
        <v>0.06</v>
      </c>
      <c r="D510" s="156">
        <v>0.197</v>
      </c>
      <c r="E510" s="156">
        <v>0.06</v>
      </c>
      <c r="F510" s="157"/>
      <c r="G510" s="157"/>
      <c r="H510" s="157"/>
      <c r="I510" s="157"/>
      <c r="J510" s="157"/>
      <c r="K510" s="54"/>
      <c r="L510" s="157" t="s">
        <v>6847</v>
      </c>
      <c r="M510" s="159" t="s">
        <v>6847</v>
      </c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</row>
    <row r="511">
      <c r="A511" s="156">
        <v>7.290008464611E12</v>
      </c>
      <c r="B511" s="157" t="s">
        <v>6848</v>
      </c>
      <c r="C511" s="156">
        <v>0.06</v>
      </c>
      <c r="D511" s="156">
        <v>0.197</v>
      </c>
      <c r="E511" s="156">
        <v>0.06</v>
      </c>
      <c r="F511" s="157"/>
      <c r="G511" s="157"/>
      <c r="H511" s="157"/>
      <c r="I511" s="157"/>
      <c r="J511" s="157"/>
      <c r="K511" s="54"/>
      <c r="L511" s="157" t="s">
        <v>6848</v>
      </c>
      <c r="M511" s="159" t="s">
        <v>6848</v>
      </c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</row>
    <row r="512">
      <c r="A512" s="156">
        <v>8.850161160851E12</v>
      </c>
      <c r="B512" s="156" t="s">
        <v>6849</v>
      </c>
      <c r="C512" s="156">
        <v>0.06</v>
      </c>
      <c r="D512" s="156">
        <v>0.19</v>
      </c>
      <c r="E512" s="156">
        <v>0.06</v>
      </c>
      <c r="F512" s="157"/>
      <c r="G512" s="157"/>
      <c r="H512" s="157"/>
      <c r="I512" s="157"/>
      <c r="J512" s="157"/>
      <c r="K512" s="54"/>
      <c r="L512" s="160" t="s">
        <v>6849</v>
      </c>
      <c r="M512" s="156" t="s">
        <v>6849</v>
      </c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</row>
    <row r="513">
      <c r="A513" s="156">
        <v>8.850161167041E12</v>
      </c>
      <c r="B513" s="156" t="s">
        <v>890</v>
      </c>
      <c r="C513" s="156">
        <v>0.055</v>
      </c>
      <c r="D513" s="156">
        <v>0.145</v>
      </c>
      <c r="E513" s="156">
        <v>0.055</v>
      </c>
      <c r="F513" s="157"/>
      <c r="G513" s="157"/>
      <c r="H513" s="157"/>
      <c r="I513" s="157"/>
      <c r="J513" s="157"/>
      <c r="K513" s="54"/>
      <c r="L513" s="160" t="s">
        <v>890</v>
      </c>
      <c r="M513" s="156" t="s">
        <v>890</v>
      </c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</row>
    <row r="514">
      <c r="A514" s="156">
        <v>7.290110111557E12</v>
      </c>
      <c r="B514" s="156" t="s">
        <v>3546</v>
      </c>
      <c r="C514" s="156">
        <v>0.07</v>
      </c>
      <c r="D514" s="156">
        <v>0.24</v>
      </c>
      <c r="E514" s="156">
        <v>0.07</v>
      </c>
      <c r="F514" s="157"/>
      <c r="G514" s="157"/>
      <c r="H514" s="157"/>
      <c r="I514" s="157"/>
      <c r="J514" s="157"/>
      <c r="K514" s="54"/>
      <c r="L514" s="160" t="s">
        <v>3546</v>
      </c>
      <c r="M514" s="156" t="s">
        <v>3546</v>
      </c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</row>
    <row r="515">
      <c r="A515" s="156">
        <v>7.290110111564E12</v>
      </c>
      <c r="B515" s="156" t="s">
        <v>3540</v>
      </c>
      <c r="C515" s="156">
        <v>0.07</v>
      </c>
      <c r="D515" s="156">
        <v>0.24</v>
      </c>
      <c r="E515" s="156">
        <v>0.07</v>
      </c>
      <c r="F515" s="157"/>
      <c r="G515" s="157"/>
      <c r="H515" s="157"/>
      <c r="I515" s="157"/>
      <c r="J515" s="157"/>
      <c r="K515" s="54"/>
      <c r="L515" s="160" t="s">
        <v>3540</v>
      </c>
      <c r="M515" s="156" t="s">
        <v>3540</v>
      </c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</row>
    <row r="516">
      <c r="A516" s="156">
        <v>433714.0</v>
      </c>
      <c r="B516" s="156" t="s">
        <v>4258</v>
      </c>
      <c r="C516" s="156">
        <v>0.08</v>
      </c>
      <c r="D516" s="156">
        <v>0.33</v>
      </c>
      <c r="E516" s="156">
        <v>0.08</v>
      </c>
      <c r="F516" s="157"/>
      <c r="G516" s="157"/>
      <c r="H516" s="157"/>
      <c r="I516" s="157"/>
      <c r="J516" s="157"/>
      <c r="K516" s="54"/>
      <c r="L516" s="156" t="s">
        <v>4258</v>
      </c>
      <c r="M516" s="156" t="s">
        <v>4258</v>
      </c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</row>
    <row r="517">
      <c r="A517" s="156">
        <v>7.290110110765E12</v>
      </c>
      <c r="B517" s="156" t="s">
        <v>6850</v>
      </c>
      <c r="C517" s="156">
        <v>0.073</v>
      </c>
      <c r="D517" s="156">
        <v>0.205</v>
      </c>
      <c r="E517" s="156">
        <v>0.073</v>
      </c>
      <c r="F517" s="157"/>
      <c r="G517" s="157"/>
      <c r="H517" s="157"/>
      <c r="I517" s="157"/>
      <c r="J517" s="157"/>
      <c r="K517" s="54"/>
      <c r="L517" s="160" t="s">
        <v>6850</v>
      </c>
      <c r="M517" s="156" t="s">
        <v>6850</v>
      </c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</row>
    <row r="518">
      <c r="A518" s="156">
        <v>7.501013122992E12</v>
      </c>
      <c r="B518" s="156" t="s">
        <v>6851</v>
      </c>
      <c r="C518" s="156">
        <v>0.08</v>
      </c>
      <c r="D518" s="156">
        <v>0.24</v>
      </c>
      <c r="E518" s="156">
        <v>0.07</v>
      </c>
      <c r="F518" s="157"/>
      <c r="G518" s="157"/>
      <c r="H518" s="157"/>
      <c r="I518" s="157"/>
      <c r="J518" s="157"/>
      <c r="K518" s="54"/>
      <c r="L518" s="160" t="s">
        <v>6851</v>
      </c>
      <c r="M518" s="156" t="s">
        <v>6851</v>
      </c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</row>
    <row r="519">
      <c r="A519" s="156">
        <v>7.501013122039E12</v>
      </c>
      <c r="B519" s="156" t="s">
        <v>6852</v>
      </c>
      <c r="C519" s="156">
        <v>0.08</v>
      </c>
      <c r="D519" s="156">
        <v>0.24</v>
      </c>
      <c r="E519" s="156">
        <v>0.07</v>
      </c>
      <c r="F519" s="157"/>
      <c r="G519" s="157"/>
      <c r="H519" s="157"/>
      <c r="I519" s="157"/>
      <c r="J519" s="157"/>
      <c r="K519" s="54"/>
      <c r="L519" s="160" t="s">
        <v>6852</v>
      </c>
      <c r="M519" s="156" t="s">
        <v>6852</v>
      </c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</row>
    <row r="520">
      <c r="A520" s="156">
        <v>7.5001629E12</v>
      </c>
      <c r="B520" s="156" t="s">
        <v>4383</v>
      </c>
      <c r="C520" s="156">
        <v>0.06</v>
      </c>
      <c r="D520" s="156">
        <v>0.235</v>
      </c>
      <c r="E520" s="156">
        <v>0.12</v>
      </c>
      <c r="F520" s="157"/>
      <c r="G520" s="157"/>
      <c r="H520" s="157"/>
      <c r="I520" s="157"/>
      <c r="J520" s="157"/>
      <c r="K520" s="54"/>
      <c r="L520" s="160" t="s">
        <v>4383</v>
      </c>
      <c r="M520" s="156" t="s">
        <v>4383</v>
      </c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52"/>
      <c r="Y520" s="152"/>
      <c r="Z520" s="152"/>
    </row>
    <row r="521">
      <c r="A521" s="156">
        <v>5.410228267508E12</v>
      </c>
      <c r="B521" s="156" t="s">
        <v>533</v>
      </c>
      <c r="C521" s="156">
        <v>0.055</v>
      </c>
      <c r="D521" s="156">
        <v>0.23</v>
      </c>
      <c r="E521" s="156">
        <v>0.055</v>
      </c>
      <c r="F521" s="157"/>
      <c r="G521" s="157"/>
      <c r="H521" s="157"/>
      <c r="I521" s="157"/>
      <c r="J521" s="157"/>
      <c r="K521" s="54"/>
      <c r="L521" s="156" t="s">
        <v>533</v>
      </c>
      <c r="M521" s="156" t="s">
        <v>533</v>
      </c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52"/>
      <c r="Y521" s="152"/>
      <c r="Z521" s="152"/>
    </row>
    <row r="522">
      <c r="A522" s="156">
        <v>7.290017888644E12</v>
      </c>
      <c r="B522" s="156" t="s">
        <v>1560</v>
      </c>
      <c r="C522" s="156">
        <v>0.065</v>
      </c>
      <c r="D522" s="156">
        <v>0.153</v>
      </c>
      <c r="E522" s="156">
        <v>0.065</v>
      </c>
      <c r="F522" s="157"/>
      <c r="G522" s="157"/>
      <c r="H522" s="157"/>
      <c r="I522" s="157"/>
      <c r="J522" s="157"/>
      <c r="K522" s="54"/>
      <c r="L522" s="160" t="s">
        <v>1560</v>
      </c>
      <c r="M522" s="156" t="s">
        <v>1560</v>
      </c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</row>
    <row r="523">
      <c r="A523" s="156">
        <v>7.290017888729E12</v>
      </c>
      <c r="B523" s="156" t="s">
        <v>4220</v>
      </c>
      <c r="C523" s="156">
        <v>0.085</v>
      </c>
      <c r="D523" s="156">
        <v>0.297</v>
      </c>
      <c r="E523" s="156">
        <v>0.085</v>
      </c>
      <c r="F523" s="157"/>
      <c r="G523" s="157"/>
      <c r="H523" s="157"/>
      <c r="I523" s="157"/>
      <c r="J523" s="157"/>
      <c r="K523" s="54"/>
      <c r="L523" s="160" t="s">
        <v>4220</v>
      </c>
      <c r="M523" s="156" t="s">
        <v>4220</v>
      </c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</row>
    <row r="524">
      <c r="A524" s="156">
        <v>7.290017888866E12</v>
      </c>
      <c r="B524" s="156" t="s">
        <v>4109</v>
      </c>
      <c r="C524" s="156">
        <v>0.058</v>
      </c>
      <c r="D524" s="156">
        <v>0.145</v>
      </c>
      <c r="E524" s="156">
        <v>0.058</v>
      </c>
      <c r="F524" s="157"/>
      <c r="G524" s="157"/>
      <c r="H524" s="157"/>
      <c r="I524" s="157"/>
      <c r="J524" s="157"/>
      <c r="K524" s="54"/>
      <c r="L524" s="160" t="s">
        <v>4109</v>
      </c>
      <c r="M524" s="156" t="s">
        <v>4109</v>
      </c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</row>
    <row r="525">
      <c r="A525" s="156">
        <v>7.29001788888E12</v>
      </c>
      <c r="B525" s="156" t="s">
        <v>4175</v>
      </c>
      <c r="C525" s="156">
        <v>0.058</v>
      </c>
      <c r="D525" s="156">
        <v>0.145</v>
      </c>
      <c r="E525" s="156">
        <v>0.058</v>
      </c>
      <c r="F525" s="157"/>
      <c r="G525" s="157"/>
      <c r="H525" s="157"/>
      <c r="I525" s="157"/>
      <c r="J525" s="157"/>
      <c r="K525" s="54"/>
      <c r="L525" s="160" t="s">
        <v>4175</v>
      </c>
      <c r="M525" s="156" t="s">
        <v>4175</v>
      </c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</row>
    <row r="526">
      <c r="A526" s="156">
        <v>7.290017888842E12</v>
      </c>
      <c r="B526" s="156" t="s">
        <v>4214</v>
      </c>
      <c r="C526" s="156">
        <v>0.058</v>
      </c>
      <c r="D526" s="156">
        <v>0.145</v>
      </c>
      <c r="E526" s="156">
        <v>0.058</v>
      </c>
      <c r="F526" s="157"/>
      <c r="G526" s="157"/>
      <c r="H526" s="157"/>
      <c r="I526" s="157"/>
      <c r="J526" s="157"/>
      <c r="K526" s="54"/>
      <c r="L526" s="160" t="s">
        <v>4214</v>
      </c>
      <c r="M526" s="156" t="s">
        <v>4214</v>
      </c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</row>
    <row r="527">
      <c r="A527" s="156">
        <v>7.290017888859E12</v>
      </c>
      <c r="B527" s="156" t="s">
        <v>4250</v>
      </c>
      <c r="C527" s="156">
        <v>0.058</v>
      </c>
      <c r="D527" s="156">
        <v>0.145</v>
      </c>
      <c r="E527" s="156">
        <v>0.058</v>
      </c>
      <c r="F527" s="157"/>
      <c r="G527" s="157"/>
      <c r="H527" s="157"/>
      <c r="I527" s="157"/>
      <c r="J527" s="157"/>
      <c r="K527" s="54"/>
      <c r="L527" s="160" t="s">
        <v>4250</v>
      </c>
      <c r="M527" s="156" t="s">
        <v>4250</v>
      </c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</row>
    <row r="528">
      <c r="A528" s="156">
        <v>7.290000135175E12</v>
      </c>
      <c r="B528" s="157" t="s">
        <v>6853</v>
      </c>
      <c r="C528" s="156">
        <v>0.057</v>
      </c>
      <c r="D528" s="156">
        <v>0.14</v>
      </c>
      <c r="E528" s="156">
        <v>0.057</v>
      </c>
      <c r="F528" s="157"/>
      <c r="G528" s="157"/>
      <c r="H528" s="157"/>
      <c r="I528" s="157"/>
      <c r="J528" s="157"/>
      <c r="K528" s="54"/>
      <c r="L528" s="157" t="s">
        <v>6853</v>
      </c>
      <c r="M528" s="159" t="s">
        <v>6853</v>
      </c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</row>
    <row r="529">
      <c r="A529" s="156">
        <v>7.290110113483E12</v>
      </c>
      <c r="B529" s="156" t="s">
        <v>1630</v>
      </c>
      <c r="C529" s="156">
        <v>0.09199999</v>
      </c>
      <c r="D529" s="156">
        <v>0.3</v>
      </c>
      <c r="E529" s="156">
        <v>0.09199999</v>
      </c>
      <c r="F529" s="157"/>
      <c r="G529" s="157"/>
      <c r="H529" s="157"/>
      <c r="I529" s="157"/>
      <c r="J529" s="157"/>
      <c r="K529" s="54"/>
      <c r="L529" s="160" t="s">
        <v>1630</v>
      </c>
      <c r="M529" s="156" t="s">
        <v>1630</v>
      </c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</row>
    <row r="530">
      <c r="A530" s="156">
        <v>7.290110113421E12</v>
      </c>
      <c r="B530" s="156" t="s">
        <v>581</v>
      </c>
      <c r="C530" s="156">
        <v>0.055</v>
      </c>
      <c r="D530" s="156">
        <v>0.226</v>
      </c>
      <c r="E530" s="156">
        <v>0.055</v>
      </c>
      <c r="F530" s="157"/>
      <c r="G530" s="157"/>
      <c r="H530" s="157"/>
      <c r="I530" s="157"/>
      <c r="J530" s="157"/>
      <c r="K530" s="54"/>
      <c r="L530" s="160" t="s">
        <v>581</v>
      </c>
      <c r="M530" s="156" t="s">
        <v>581</v>
      </c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</row>
    <row r="531">
      <c r="A531" s="156">
        <v>7.290017888972E12</v>
      </c>
      <c r="B531" s="156" t="s">
        <v>2673</v>
      </c>
      <c r="C531" s="156">
        <v>0.087</v>
      </c>
      <c r="D531" s="156">
        <v>0.255</v>
      </c>
      <c r="E531" s="156">
        <v>0.087</v>
      </c>
      <c r="F531" s="157"/>
      <c r="G531" s="157"/>
      <c r="H531" s="157"/>
      <c r="I531" s="157"/>
      <c r="J531" s="157"/>
      <c r="K531" s="54"/>
      <c r="L531" s="160" t="s">
        <v>2673</v>
      </c>
      <c r="M531" s="156" t="s">
        <v>2673</v>
      </c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52"/>
      <c r="Y531" s="152"/>
      <c r="Z531" s="152"/>
    </row>
    <row r="532">
      <c r="A532" s="156">
        <v>8.850161167065E12</v>
      </c>
      <c r="B532" s="156" t="s">
        <v>897</v>
      </c>
      <c r="C532" s="156">
        <v>0.055</v>
      </c>
      <c r="D532" s="156">
        <v>0.145</v>
      </c>
      <c r="E532" s="156">
        <v>0.055</v>
      </c>
      <c r="F532" s="157"/>
      <c r="G532" s="157"/>
      <c r="H532" s="157"/>
      <c r="I532" s="157"/>
      <c r="J532" s="157"/>
      <c r="K532" s="54"/>
      <c r="L532" s="160" t="s">
        <v>897</v>
      </c>
      <c r="M532" s="156" t="s">
        <v>897</v>
      </c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</row>
    <row r="533">
      <c r="A533" s="156">
        <v>7.290006764768E12</v>
      </c>
      <c r="B533" s="157" t="s">
        <v>6854</v>
      </c>
      <c r="C533" s="156">
        <v>0.065</v>
      </c>
      <c r="D533" s="156">
        <v>0.24</v>
      </c>
      <c r="E533" s="156">
        <v>0.065</v>
      </c>
      <c r="F533" s="157"/>
      <c r="G533" s="157"/>
      <c r="H533" s="157"/>
      <c r="I533" s="157"/>
      <c r="J533" s="157"/>
      <c r="K533" s="54"/>
      <c r="L533" s="157" t="s">
        <v>6854</v>
      </c>
      <c r="M533" s="159" t="s">
        <v>6854</v>
      </c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</row>
    <row r="534">
      <c r="A534" s="156">
        <v>7.290006764782E12</v>
      </c>
      <c r="B534" s="157" t="s">
        <v>6855</v>
      </c>
      <c r="C534" s="156">
        <v>0.065</v>
      </c>
      <c r="D534" s="156">
        <v>0.24</v>
      </c>
      <c r="E534" s="156">
        <v>0.065</v>
      </c>
      <c r="F534" s="157"/>
      <c r="G534" s="157"/>
      <c r="H534" s="157"/>
      <c r="I534" s="157"/>
      <c r="J534" s="157"/>
      <c r="K534" s="54"/>
      <c r="L534" s="157" t="s">
        <v>6855</v>
      </c>
      <c r="M534" s="159" t="s">
        <v>6855</v>
      </c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</row>
    <row r="535">
      <c r="A535" s="156">
        <v>5.060639128051E12</v>
      </c>
      <c r="B535" s="156" t="s">
        <v>483</v>
      </c>
      <c r="C535" s="156">
        <v>0.066</v>
      </c>
      <c r="D535" s="156">
        <v>0.168</v>
      </c>
      <c r="E535" s="156">
        <v>0.066</v>
      </c>
      <c r="F535" s="157"/>
      <c r="G535" s="157"/>
      <c r="H535" s="157"/>
      <c r="I535" s="157"/>
      <c r="J535" s="157"/>
      <c r="K535" s="54"/>
      <c r="L535" s="160" t="s">
        <v>483</v>
      </c>
      <c r="M535" s="156" t="s">
        <v>483</v>
      </c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</row>
    <row r="536">
      <c r="A536" s="156">
        <v>5.904941752262E12</v>
      </c>
      <c r="B536" s="156" t="s">
        <v>465</v>
      </c>
      <c r="C536" s="156">
        <v>0.053</v>
      </c>
      <c r="D536" s="156">
        <v>0.134</v>
      </c>
      <c r="E536" s="156">
        <v>0.053</v>
      </c>
      <c r="F536" s="157"/>
      <c r="G536" s="157"/>
      <c r="H536" s="157"/>
      <c r="I536" s="157"/>
      <c r="J536" s="157"/>
      <c r="K536" s="54"/>
      <c r="L536" s="160" t="s">
        <v>465</v>
      </c>
      <c r="M536" s="156" t="s">
        <v>465</v>
      </c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</row>
    <row r="537">
      <c r="A537" s="156">
        <v>5.904941751241E12</v>
      </c>
      <c r="B537" s="156" t="s">
        <v>453</v>
      </c>
      <c r="C537" s="156">
        <v>0.053</v>
      </c>
      <c r="D537" s="156">
        <v>0.134</v>
      </c>
      <c r="E537" s="156">
        <v>0.053</v>
      </c>
      <c r="F537" s="157"/>
      <c r="G537" s="157"/>
      <c r="H537" s="157"/>
      <c r="I537" s="157"/>
      <c r="J537" s="157"/>
      <c r="K537" s="54"/>
      <c r="L537" s="160" t="s">
        <v>453</v>
      </c>
      <c r="M537" s="156" t="s">
        <v>453</v>
      </c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</row>
    <row r="538">
      <c r="A538" s="156">
        <v>7.610113011652E12</v>
      </c>
      <c r="B538" s="156" t="s">
        <v>509</v>
      </c>
      <c r="C538" s="156">
        <v>0.05</v>
      </c>
      <c r="D538" s="156">
        <v>0.215</v>
      </c>
      <c r="E538" s="156">
        <v>0.05</v>
      </c>
      <c r="F538" s="157"/>
      <c r="G538" s="157"/>
      <c r="H538" s="157"/>
      <c r="I538" s="157"/>
      <c r="J538" s="157"/>
      <c r="K538" s="54"/>
      <c r="L538" s="160" t="s">
        <v>509</v>
      </c>
      <c r="M538" s="156" t="s">
        <v>509</v>
      </c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</row>
    <row r="539">
      <c r="A539" s="156">
        <v>8.850389115336E12</v>
      </c>
      <c r="B539" s="156" t="s">
        <v>6856</v>
      </c>
      <c r="C539" s="156">
        <v>0.08</v>
      </c>
      <c r="D539" s="156">
        <v>0.295</v>
      </c>
      <c r="E539" s="156">
        <v>0.08</v>
      </c>
      <c r="F539" s="157"/>
      <c r="G539" s="157"/>
      <c r="H539" s="157"/>
      <c r="I539" s="157"/>
      <c r="J539" s="157"/>
      <c r="K539" s="54"/>
      <c r="L539" s="160" t="s">
        <v>6856</v>
      </c>
      <c r="M539" s="156" t="s">
        <v>6856</v>
      </c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</row>
    <row r="540">
      <c r="A540" s="156">
        <v>8.006290803514E12</v>
      </c>
      <c r="B540" s="157" t="s">
        <v>1383</v>
      </c>
      <c r="C540" s="156">
        <v>0.055</v>
      </c>
      <c r="D540" s="156">
        <v>0.21</v>
      </c>
      <c r="E540" s="156">
        <v>0.055</v>
      </c>
      <c r="F540" s="157"/>
      <c r="G540" s="157"/>
      <c r="H540" s="157"/>
      <c r="I540" s="157"/>
      <c r="J540" s="157"/>
      <c r="K540" s="54"/>
      <c r="L540" s="157" t="s">
        <v>1383</v>
      </c>
      <c r="M540" s="159" t="s">
        <v>1383</v>
      </c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</row>
    <row r="541">
      <c r="A541" s="156">
        <v>7.290010237531E12</v>
      </c>
      <c r="B541" s="156" t="s">
        <v>3333</v>
      </c>
      <c r="C541" s="156">
        <v>0.065</v>
      </c>
      <c r="D541" s="156">
        <v>0.24</v>
      </c>
      <c r="E541" s="156">
        <v>0.065</v>
      </c>
      <c r="F541" s="157"/>
      <c r="G541" s="157"/>
      <c r="H541" s="157"/>
      <c r="I541" s="157"/>
      <c r="J541" s="157"/>
      <c r="K541" s="54"/>
      <c r="L541" s="160" t="s">
        <v>3333</v>
      </c>
      <c r="M541" s="156" t="s">
        <v>3333</v>
      </c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52"/>
      <c r="Y541" s="152"/>
      <c r="Z541" s="152"/>
    </row>
    <row r="542">
      <c r="A542" s="156">
        <v>8.410793282934E12</v>
      </c>
      <c r="B542" s="156" t="s">
        <v>1338</v>
      </c>
      <c r="C542" s="156">
        <v>0.06</v>
      </c>
      <c r="D542" s="156">
        <v>0.228</v>
      </c>
      <c r="E542" s="156">
        <v>0.06</v>
      </c>
      <c r="F542" s="157"/>
      <c r="G542" s="157"/>
      <c r="H542" s="157"/>
      <c r="I542" s="157"/>
      <c r="J542" s="157"/>
      <c r="K542" s="54"/>
      <c r="L542" s="160" t="s">
        <v>1338</v>
      </c>
      <c r="M542" s="156" t="s">
        <v>1338</v>
      </c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52"/>
      <c r="Y542" s="152"/>
      <c r="Z542" s="152"/>
    </row>
    <row r="543">
      <c r="A543" s="156">
        <v>7.290002542773E12</v>
      </c>
      <c r="B543" s="157" t="s">
        <v>6857</v>
      </c>
      <c r="C543" s="156">
        <v>0.06</v>
      </c>
      <c r="D543" s="156">
        <v>0.23</v>
      </c>
      <c r="E543" s="156">
        <v>0.06</v>
      </c>
      <c r="F543" s="157"/>
      <c r="G543" s="157"/>
      <c r="H543" s="157"/>
      <c r="I543" s="157"/>
      <c r="J543" s="157"/>
      <c r="K543" s="54"/>
      <c r="L543" s="157" t="s">
        <v>6857</v>
      </c>
      <c r="M543" s="159" t="s">
        <v>6857</v>
      </c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</row>
    <row r="544">
      <c r="A544" s="156">
        <v>5.410228217732E12</v>
      </c>
      <c r="B544" s="156" t="s">
        <v>4511</v>
      </c>
      <c r="C544" s="156">
        <v>0.065</v>
      </c>
      <c r="D544" s="156">
        <v>0.15</v>
      </c>
      <c r="E544" s="156">
        <v>0.065</v>
      </c>
      <c r="F544" s="157"/>
      <c r="G544" s="157"/>
      <c r="H544" s="157"/>
      <c r="I544" s="157"/>
      <c r="J544" s="157"/>
      <c r="K544" s="54"/>
      <c r="L544" s="160" t="s">
        <v>4511</v>
      </c>
      <c r="M544" s="156" t="s">
        <v>4511</v>
      </c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</row>
    <row r="545">
      <c r="A545" s="156">
        <v>5.060639129102E12</v>
      </c>
      <c r="B545" s="156" t="s">
        <v>2849</v>
      </c>
      <c r="C545" s="156">
        <v>0.066</v>
      </c>
      <c r="D545" s="156">
        <v>0.168</v>
      </c>
      <c r="E545" s="156">
        <v>0.066</v>
      </c>
      <c r="F545" s="157"/>
      <c r="G545" s="157"/>
      <c r="H545" s="157"/>
      <c r="I545" s="157"/>
      <c r="J545" s="157"/>
      <c r="K545" s="54"/>
      <c r="L545" s="160" t="s">
        <v>2849</v>
      </c>
      <c r="M545" s="156" t="s">
        <v>2849</v>
      </c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</row>
    <row r="546">
      <c r="A546" s="156">
        <v>7.290110110352E12</v>
      </c>
      <c r="B546" s="156" t="s">
        <v>559</v>
      </c>
      <c r="C546" s="156">
        <v>0.06</v>
      </c>
      <c r="D546" s="156">
        <v>0.23</v>
      </c>
      <c r="E546" s="156">
        <v>0.06</v>
      </c>
      <c r="F546" s="157"/>
      <c r="G546" s="157"/>
      <c r="H546" s="157"/>
      <c r="I546" s="157"/>
      <c r="J546" s="157"/>
      <c r="K546" s="54"/>
      <c r="L546" s="160" t="s">
        <v>559</v>
      </c>
      <c r="M546" s="156" t="s">
        <v>559</v>
      </c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</row>
    <row r="547">
      <c r="A547" s="156">
        <v>4.710068002798E12</v>
      </c>
      <c r="B547" s="156" t="s">
        <v>2564</v>
      </c>
      <c r="C547" s="156">
        <v>0.065</v>
      </c>
      <c r="D547" s="156">
        <v>0.095</v>
      </c>
      <c r="E547" s="156">
        <v>0.065</v>
      </c>
      <c r="F547" s="157"/>
      <c r="G547" s="157"/>
      <c r="H547" s="157"/>
      <c r="I547" s="157"/>
      <c r="J547" s="157"/>
      <c r="K547" s="54"/>
      <c r="L547" s="160" t="s">
        <v>2564</v>
      </c>
      <c r="M547" s="156" t="s">
        <v>2564</v>
      </c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52"/>
      <c r="Y547" s="152"/>
      <c r="Z547" s="152"/>
    </row>
    <row r="548">
      <c r="A548" s="156">
        <v>6.13008742409E11</v>
      </c>
      <c r="B548" s="156" t="s">
        <v>167</v>
      </c>
      <c r="C548" s="156">
        <v>0.08</v>
      </c>
      <c r="D548" s="156">
        <v>0.28</v>
      </c>
      <c r="E548" s="156">
        <v>0.08</v>
      </c>
      <c r="F548" s="157"/>
      <c r="G548" s="157"/>
      <c r="H548" s="157"/>
      <c r="I548" s="157"/>
      <c r="J548" s="157"/>
      <c r="K548" s="54"/>
      <c r="L548" s="160" t="s">
        <v>167</v>
      </c>
      <c r="M548" s="156" t="s">
        <v>167</v>
      </c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52"/>
      <c r="Y548" s="152"/>
      <c r="Z548" s="152"/>
    </row>
    <row r="549">
      <c r="A549" s="156">
        <v>6.13008742348E11</v>
      </c>
      <c r="B549" s="156" t="s">
        <v>160</v>
      </c>
      <c r="C549" s="156">
        <v>0.08</v>
      </c>
      <c r="D549" s="156">
        <v>0.28</v>
      </c>
      <c r="E549" s="156">
        <v>0.08</v>
      </c>
      <c r="F549" s="157"/>
      <c r="G549" s="157"/>
      <c r="H549" s="157"/>
      <c r="I549" s="157"/>
      <c r="J549" s="157"/>
      <c r="K549" s="54"/>
      <c r="L549" s="160" t="s">
        <v>160</v>
      </c>
      <c r="M549" s="156" t="s">
        <v>160</v>
      </c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</row>
    <row r="550">
      <c r="A550" s="156">
        <v>7.290018471111E12</v>
      </c>
      <c r="B550" s="156" t="s">
        <v>4208</v>
      </c>
      <c r="C550" s="156">
        <v>0.065</v>
      </c>
      <c r="D550" s="156">
        <v>0.221</v>
      </c>
      <c r="E550" s="156">
        <v>0.065</v>
      </c>
      <c r="F550" s="157"/>
      <c r="G550" s="157"/>
      <c r="H550" s="157"/>
      <c r="I550" s="157"/>
      <c r="J550" s="157"/>
      <c r="K550" s="54"/>
      <c r="L550" s="160" t="s">
        <v>4208</v>
      </c>
      <c r="M550" s="156" t="s">
        <v>4208</v>
      </c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</row>
    <row r="551">
      <c r="A551" s="156">
        <v>7.290112358752E12</v>
      </c>
      <c r="B551" s="156" t="s">
        <v>337</v>
      </c>
      <c r="C551" s="156">
        <v>0.05</v>
      </c>
      <c r="D551" s="156">
        <v>0.135</v>
      </c>
      <c r="E551" s="156">
        <v>0.05</v>
      </c>
      <c r="F551" s="157"/>
      <c r="G551" s="157"/>
      <c r="H551" s="157"/>
      <c r="I551" s="157"/>
      <c r="J551" s="157"/>
      <c r="K551" s="54"/>
      <c r="L551" s="160" t="s">
        <v>337</v>
      </c>
      <c r="M551" s="156" t="s">
        <v>337</v>
      </c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</row>
    <row r="552">
      <c r="A552" s="156">
        <v>7.290112347718E12</v>
      </c>
      <c r="B552" s="156" t="s">
        <v>6858</v>
      </c>
      <c r="C552" s="156">
        <v>0.05</v>
      </c>
      <c r="D552" s="156">
        <v>0.135</v>
      </c>
      <c r="E552" s="156">
        <v>0.05</v>
      </c>
      <c r="F552" s="157"/>
      <c r="G552" s="157"/>
      <c r="H552" s="157"/>
      <c r="I552" s="157"/>
      <c r="J552" s="157"/>
      <c r="K552" s="54"/>
      <c r="L552" s="160" t="s">
        <v>6858</v>
      </c>
      <c r="M552" s="156" t="s">
        <v>6858</v>
      </c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52"/>
      <c r="Y552" s="152"/>
      <c r="Z552" s="152"/>
    </row>
    <row r="553">
      <c r="A553" s="156">
        <v>7.290112347725E12</v>
      </c>
      <c r="B553" s="156" t="s">
        <v>6859</v>
      </c>
      <c r="C553" s="156">
        <v>0.05</v>
      </c>
      <c r="D553" s="156">
        <v>0.135</v>
      </c>
      <c r="E553" s="156">
        <v>0.05</v>
      </c>
      <c r="F553" s="157"/>
      <c r="G553" s="157"/>
      <c r="H553" s="157"/>
      <c r="I553" s="157"/>
      <c r="J553" s="157"/>
      <c r="K553" s="54"/>
      <c r="L553" s="160" t="s">
        <v>6859</v>
      </c>
      <c r="M553" s="156" t="s">
        <v>6859</v>
      </c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</row>
    <row r="554">
      <c r="A554" s="156">
        <v>7.290000076126E12</v>
      </c>
      <c r="B554" s="157" t="s">
        <v>6860</v>
      </c>
      <c r="C554" s="156">
        <v>0.115</v>
      </c>
      <c r="D554" s="156">
        <v>0.195</v>
      </c>
      <c r="E554" s="156">
        <v>0.03</v>
      </c>
      <c r="F554" s="157"/>
      <c r="G554" s="157"/>
      <c r="H554" s="157"/>
      <c r="I554" s="157"/>
      <c r="J554" s="157"/>
      <c r="K554" s="54"/>
      <c r="L554" s="157" t="s">
        <v>6860</v>
      </c>
      <c r="M554" s="159" t="s">
        <v>6860</v>
      </c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</row>
    <row r="555">
      <c r="A555" s="156">
        <v>7.290000076133E12</v>
      </c>
      <c r="B555" s="157" t="s">
        <v>6861</v>
      </c>
      <c r="C555" s="156">
        <v>0.15</v>
      </c>
      <c r="D555" s="156">
        <v>0.23</v>
      </c>
      <c r="E555" s="156">
        <v>0.085</v>
      </c>
      <c r="F555" s="157"/>
      <c r="G555" s="157"/>
      <c r="H555" s="157"/>
      <c r="I555" s="157"/>
      <c r="J555" s="157"/>
      <c r="K555" s="54"/>
      <c r="L555" s="157" t="s">
        <v>6861</v>
      </c>
      <c r="M555" s="159" t="s">
        <v>6861</v>
      </c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</row>
    <row r="556">
      <c r="A556" s="156">
        <v>7.290002132011E12</v>
      </c>
      <c r="B556" s="157" t="s">
        <v>6862</v>
      </c>
      <c r="C556" s="156">
        <v>0.17</v>
      </c>
      <c r="D556" s="156">
        <v>0.27</v>
      </c>
      <c r="E556" s="156">
        <v>0.05</v>
      </c>
      <c r="F556" s="157"/>
      <c r="G556" s="157"/>
      <c r="H556" s="157"/>
      <c r="I556" s="157"/>
      <c r="J556" s="157"/>
      <c r="K556" s="54"/>
      <c r="L556" s="157" t="s">
        <v>6862</v>
      </c>
      <c r="M556" s="159" t="s">
        <v>6862</v>
      </c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</row>
    <row r="557">
      <c r="A557" s="156">
        <v>8.56591000062E11</v>
      </c>
      <c r="B557" s="156" t="s">
        <v>25</v>
      </c>
      <c r="C557" s="156">
        <v>0.15</v>
      </c>
      <c r="D557" s="156">
        <v>0.27</v>
      </c>
      <c r="E557" s="156">
        <v>0.05</v>
      </c>
      <c r="F557" s="157"/>
      <c r="G557" s="157"/>
      <c r="H557" s="157"/>
      <c r="I557" s="157"/>
      <c r="J557" s="157"/>
      <c r="K557" s="54"/>
      <c r="L557" s="160" t="s">
        <v>25</v>
      </c>
      <c r="M557" s="156" t="s">
        <v>25</v>
      </c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</row>
    <row r="558">
      <c r="A558" s="156">
        <v>7.290000071008E12</v>
      </c>
      <c r="B558" s="157" t="s">
        <v>6863</v>
      </c>
      <c r="C558" s="156">
        <v>0.09999999</v>
      </c>
      <c r="D558" s="156">
        <v>0.19</v>
      </c>
      <c r="E558" s="156">
        <v>0.04</v>
      </c>
      <c r="F558" s="157"/>
      <c r="G558" s="157"/>
      <c r="H558" s="157"/>
      <c r="I558" s="157"/>
      <c r="J558" s="157"/>
      <c r="K558" s="54"/>
      <c r="L558" s="157" t="s">
        <v>6863</v>
      </c>
      <c r="M558" s="159" t="s">
        <v>6863</v>
      </c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</row>
    <row r="559">
      <c r="A559" s="156">
        <v>7.7975099933E10</v>
      </c>
      <c r="B559" s="156" t="s">
        <v>4340</v>
      </c>
      <c r="C559" s="156">
        <v>0.09999999</v>
      </c>
      <c r="D559" s="156">
        <v>0.155</v>
      </c>
      <c r="E559" s="156">
        <v>0.02</v>
      </c>
      <c r="F559" s="157"/>
      <c r="G559" s="157"/>
      <c r="H559" s="157"/>
      <c r="I559" s="157"/>
      <c r="J559" s="157"/>
      <c r="K559" s="54"/>
      <c r="L559" s="160" t="s">
        <v>4340</v>
      </c>
      <c r="M559" s="156" t="s">
        <v>4340</v>
      </c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</row>
    <row r="560">
      <c r="A560" s="156">
        <v>7.7975099919E10</v>
      </c>
      <c r="B560" s="156" t="s">
        <v>4355</v>
      </c>
      <c r="C560" s="156">
        <v>0.09999999</v>
      </c>
      <c r="D560" s="156">
        <v>0.155</v>
      </c>
      <c r="E560" s="156">
        <v>0.02</v>
      </c>
      <c r="F560" s="157"/>
      <c r="G560" s="157"/>
      <c r="H560" s="157"/>
      <c r="I560" s="157"/>
      <c r="J560" s="157"/>
      <c r="K560" s="54"/>
      <c r="L560" s="160" t="s">
        <v>4355</v>
      </c>
      <c r="M560" s="156" t="s">
        <v>4355</v>
      </c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</row>
    <row r="561">
      <c r="A561" s="156">
        <v>7.290011308858E12</v>
      </c>
      <c r="B561" s="156" t="s">
        <v>3122</v>
      </c>
      <c r="C561" s="156">
        <v>0.115</v>
      </c>
      <c r="D561" s="156">
        <v>0.16</v>
      </c>
      <c r="E561" s="156">
        <v>0.05</v>
      </c>
      <c r="F561" s="157"/>
      <c r="G561" s="157"/>
      <c r="H561" s="157"/>
      <c r="I561" s="157"/>
      <c r="J561" s="157"/>
      <c r="K561" s="54"/>
      <c r="L561" s="160" t="s">
        <v>3122</v>
      </c>
      <c r="M561" s="156" t="s">
        <v>3122</v>
      </c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</row>
    <row r="562">
      <c r="A562" s="156">
        <v>7.290106574977E12</v>
      </c>
      <c r="B562" s="156" t="s">
        <v>3553</v>
      </c>
      <c r="C562" s="156">
        <v>0.15</v>
      </c>
      <c r="D562" s="156">
        <v>0.23</v>
      </c>
      <c r="E562" s="156">
        <v>0.08</v>
      </c>
      <c r="F562" s="157"/>
      <c r="G562" s="157"/>
      <c r="H562" s="157"/>
      <c r="I562" s="157"/>
      <c r="J562" s="157"/>
      <c r="K562" s="54"/>
      <c r="L562" s="160" t="s">
        <v>3553</v>
      </c>
      <c r="M562" s="156" t="s">
        <v>3553</v>
      </c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</row>
    <row r="563">
      <c r="A563" s="156">
        <v>7.7975088227E10</v>
      </c>
      <c r="B563" s="156" t="s">
        <v>4365</v>
      </c>
      <c r="C563" s="156">
        <v>0.14</v>
      </c>
      <c r="D563" s="156">
        <v>0.26</v>
      </c>
      <c r="E563" s="156">
        <v>0.035</v>
      </c>
      <c r="F563" s="157"/>
      <c r="G563" s="157"/>
      <c r="H563" s="157"/>
      <c r="I563" s="157"/>
      <c r="J563" s="157"/>
      <c r="K563" s="54"/>
      <c r="L563" s="160" t="s">
        <v>4365</v>
      </c>
      <c r="M563" s="156" t="s">
        <v>4365</v>
      </c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</row>
    <row r="564">
      <c r="A564" s="156">
        <v>7.290112966025E12</v>
      </c>
      <c r="B564" s="156" t="s">
        <v>3580</v>
      </c>
      <c r="C564" s="156">
        <v>0.12</v>
      </c>
      <c r="D564" s="156">
        <v>0.185</v>
      </c>
      <c r="E564" s="156">
        <v>0.05</v>
      </c>
      <c r="F564" s="157"/>
      <c r="G564" s="157"/>
      <c r="H564" s="157"/>
      <c r="I564" s="157"/>
      <c r="J564" s="157"/>
      <c r="K564" s="54"/>
      <c r="L564" s="160" t="s">
        <v>3580</v>
      </c>
      <c r="M564" s="156" t="s">
        <v>3580</v>
      </c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</row>
    <row r="565">
      <c r="A565" s="156">
        <v>7.7975091975E10</v>
      </c>
      <c r="B565" s="156" t="s">
        <v>4370</v>
      </c>
      <c r="C565" s="156">
        <v>0.14</v>
      </c>
      <c r="D565" s="156">
        <v>0.26</v>
      </c>
      <c r="E565" s="156">
        <v>0.035</v>
      </c>
      <c r="F565" s="157"/>
      <c r="G565" s="157"/>
      <c r="H565" s="157"/>
      <c r="I565" s="157"/>
      <c r="J565" s="157"/>
      <c r="K565" s="54"/>
      <c r="L565" s="160" t="s">
        <v>4370</v>
      </c>
      <c r="M565" s="156" t="s">
        <v>4370</v>
      </c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</row>
    <row r="566">
      <c r="A566" s="156">
        <v>7.290017513775E12</v>
      </c>
      <c r="B566" s="156" t="s">
        <v>1418</v>
      </c>
      <c r="C566" s="156">
        <v>0.175</v>
      </c>
      <c r="D566" s="156">
        <v>0.215</v>
      </c>
      <c r="E566" s="156">
        <v>0.04</v>
      </c>
      <c r="F566" s="157"/>
      <c r="G566" s="157"/>
      <c r="H566" s="157"/>
      <c r="I566" s="157"/>
      <c r="J566" s="157"/>
      <c r="K566" s="54"/>
      <c r="L566" s="160" t="s">
        <v>1418</v>
      </c>
      <c r="M566" s="156" t="s">
        <v>1418</v>
      </c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</row>
    <row r="567">
      <c r="A567" s="156">
        <v>7.7975094006E10</v>
      </c>
      <c r="B567" s="156" t="s">
        <v>6864</v>
      </c>
      <c r="C567" s="156">
        <v>0.15</v>
      </c>
      <c r="D567" s="156">
        <v>0.26</v>
      </c>
      <c r="E567" s="156">
        <v>0.035</v>
      </c>
      <c r="F567" s="157"/>
      <c r="G567" s="157"/>
      <c r="H567" s="157"/>
      <c r="I567" s="157"/>
      <c r="J567" s="157"/>
      <c r="K567" s="54"/>
      <c r="L567" s="160" t="s">
        <v>6864</v>
      </c>
      <c r="M567" s="156" t="s">
        <v>6864</v>
      </c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</row>
    <row r="568">
      <c r="A568" s="156">
        <v>8.56591000109E11</v>
      </c>
      <c r="B568" s="156" t="s">
        <v>41</v>
      </c>
      <c r="C568" s="156">
        <v>0.15</v>
      </c>
      <c r="D568" s="156">
        <v>0.27</v>
      </c>
      <c r="E568" s="156">
        <v>0.05</v>
      </c>
      <c r="F568" s="157"/>
      <c r="G568" s="157"/>
      <c r="H568" s="157"/>
      <c r="I568" s="157"/>
      <c r="J568" s="157"/>
      <c r="K568" s="54"/>
      <c r="L568" s="160" t="s">
        <v>41</v>
      </c>
      <c r="M568" s="156" t="s">
        <v>41</v>
      </c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</row>
    <row r="569">
      <c r="A569" s="156">
        <v>7.290018440209E12</v>
      </c>
      <c r="B569" s="156" t="s">
        <v>1423</v>
      </c>
      <c r="C569" s="156">
        <v>0.18</v>
      </c>
      <c r="D569" s="156">
        <v>0.215</v>
      </c>
      <c r="E569" s="156">
        <v>0.04</v>
      </c>
      <c r="F569" s="157"/>
      <c r="G569" s="157"/>
      <c r="H569" s="157"/>
      <c r="I569" s="157"/>
      <c r="J569" s="157"/>
      <c r="K569" s="54"/>
      <c r="L569" s="160" t="s">
        <v>1423</v>
      </c>
      <c r="M569" s="156" t="s">
        <v>1423</v>
      </c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</row>
    <row r="570">
      <c r="A570" s="156">
        <v>7.7975094631E10</v>
      </c>
      <c r="B570" s="156" t="s">
        <v>4350</v>
      </c>
      <c r="C570" s="156">
        <v>0.14</v>
      </c>
      <c r="D570" s="156">
        <v>0.255</v>
      </c>
      <c r="E570" s="156">
        <v>0.07</v>
      </c>
      <c r="F570" s="157"/>
      <c r="G570" s="157"/>
      <c r="H570" s="157"/>
      <c r="I570" s="157"/>
      <c r="J570" s="157"/>
      <c r="K570" s="54"/>
      <c r="L570" s="160" t="s">
        <v>4350</v>
      </c>
      <c r="M570" s="156" t="s">
        <v>4350</v>
      </c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</row>
    <row r="571">
      <c r="A571" s="156">
        <v>7.7975094624E10</v>
      </c>
      <c r="B571" s="156" t="s">
        <v>4360</v>
      </c>
      <c r="C571" s="156">
        <v>0.14</v>
      </c>
      <c r="D571" s="156">
        <v>0.255</v>
      </c>
      <c r="E571" s="156">
        <v>0.07</v>
      </c>
      <c r="F571" s="157"/>
      <c r="G571" s="157"/>
      <c r="H571" s="157"/>
      <c r="I571" s="157"/>
      <c r="J571" s="157"/>
      <c r="K571" s="54"/>
      <c r="L571" s="160" t="s">
        <v>4360</v>
      </c>
      <c r="M571" s="156" t="s">
        <v>4360</v>
      </c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52"/>
      <c r="Y571" s="152"/>
      <c r="Z571" s="152"/>
    </row>
    <row r="572">
      <c r="A572" s="156">
        <v>7.290018440193E12</v>
      </c>
      <c r="B572" s="156" t="s">
        <v>1410</v>
      </c>
      <c r="C572" s="156">
        <v>0.18</v>
      </c>
      <c r="D572" s="156">
        <v>0.215</v>
      </c>
      <c r="E572" s="156">
        <v>0.04</v>
      </c>
      <c r="F572" s="157"/>
      <c r="G572" s="157"/>
      <c r="H572" s="157"/>
      <c r="I572" s="157"/>
      <c r="J572" s="157"/>
      <c r="K572" s="54"/>
      <c r="L572" s="160" t="s">
        <v>1410</v>
      </c>
      <c r="M572" s="156" t="s">
        <v>1410</v>
      </c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</row>
    <row r="573">
      <c r="A573" s="156">
        <v>7.290112497932E12</v>
      </c>
      <c r="B573" s="156" t="s">
        <v>3115</v>
      </c>
      <c r="C573" s="156">
        <v>0.115</v>
      </c>
      <c r="D573" s="156">
        <v>0.16</v>
      </c>
      <c r="E573" s="156">
        <v>0.06</v>
      </c>
      <c r="F573" s="157"/>
      <c r="G573" s="157"/>
      <c r="H573" s="157"/>
      <c r="I573" s="157"/>
      <c r="J573" s="157"/>
      <c r="K573" s="54"/>
      <c r="L573" s="160" t="s">
        <v>3115</v>
      </c>
      <c r="M573" s="156" t="s">
        <v>3115</v>
      </c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</row>
    <row r="574">
      <c r="A574" s="156">
        <v>7.7975094761E10</v>
      </c>
      <c r="B574" s="156" t="s">
        <v>4375</v>
      </c>
      <c r="C574" s="156">
        <v>0.15</v>
      </c>
      <c r="D574" s="156">
        <v>0.255</v>
      </c>
      <c r="E574" s="156">
        <v>0.07</v>
      </c>
      <c r="F574" s="157"/>
      <c r="G574" s="157"/>
      <c r="H574" s="157"/>
      <c r="I574" s="157"/>
      <c r="J574" s="157"/>
      <c r="K574" s="54"/>
      <c r="L574" s="160" t="s">
        <v>4375</v>
      </c>
      <c r="M574" s="156" t="s">
        <v>4375</v>
      </c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</row>
    <row r="575">
      <c r="A575" s="156">
        <v>7.290000074245E12</v>
      </c>
      <c r="B575" s="157" t="s">
        <v>6865</v>
      </c>
      <c r="C575" s="156">
        <v>0.2</v>
      </c>
      <c r="D575" s="156">
        <v>0.078</v>
      </c>
      <c r="E575" s="156">
        <v>0.075</v>
      </c>
      <c r="F575" s="157"/>
      <c r="G575" s="157"/>
      <c r="H575" s="157"/>
      <c r="I575" s="157"/>
      <c r="J575" s="157"/>
      <c r="K575" s="54"/>
      <c r="L575" s="157" t="s">
        <v>6865</v>
      </c>
      <c r="M575" s="159" t="s">
        <v>6865</v>
      </c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</row>
    <row r="576">
      <c r="A576" s="156">
        <v>7.290000074375E12</v>
      </c>
      <c r="B576" s="157" t="s">
        <v>6866</v>
      </c>
      <c r="C576" s="156">
        <v>0.2</v>
      </c>
      <c r="D576" s="156">
        <v>0.06699999</v>
      </c>
      <c r="E576" s="156">
        <v>0.045</v>
      </c>
      <c r="F576" s="157"/>
      <c r="G576" s="157"/>
      <c r="H576" s="157"/>
      <c r="I576" s="157"/>
      <c r="J576" s="157"/>
      <c r="K576" s="54"/>
      <c r="L576" s="157" t="s">
        <v>6866</v>
      </c>
      <c r="M576" s="159" t="s">
        <v>6866</v>
      </c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</row>
    <row r="577">
      <c r="A577" s="156">
        <v>7.290000075204E12</v>
      </c>
      <c r="B577" s="157" t="s">
        <v>6867</v>
      </c>
      <c r="C577" s="156">
        <v>0.14</v>
      </c>
      <c r="D577" s="156">
        <v>0.13</v>
      </c>
      <c r="E577" s="156">
        <v>0.044</v>
      </c>
      <c r="F577" s="157"/>
      <c r="G577" s="157"/>
      <c r="H577" s="157"/>
      <c r="I577" s="157"/>
      <c r="J577" s="157"/>
      <c r="K577" s="54"/>
      <c r="L577" s="157" t="s">
        <v>6867</v>
      </c>
      <c r="M577" s="159" t="s">
        <v>6867</v>
      </c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</row>
    <row r="578">
      <c r="A578" s="156">
        <v>7.290000077253E12</v>
      </c>
      <c r="B578" s="157" t="s">
        <v>6868</v>
      </c>
      <c r="C578" s="156">
        <v>0.14</v>
      </c>
      <c r="D578" s="156">
        <v>0.13</v>
      </c>
      <c r="E578" s="156">
        <v>0.044</v>
      </c>
      <c r="F578" s="157"/>
      <c r="G578" s="157"/>
      <c r="H578" s="157"/>
      <c r="I578" s="157"/>
      <c r="J578" s="157"/>
      <c r="K578" s="54"/>
      <c r="L578" s="157" t="s">
        <v>6868</v>
      </c>
      <c r="M578" s="159" t="s">
        <v>6868</v>
      </c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</row>
    <row r="579">
      <c r="A579" s="156">
        <v>7.290000060071E12</v>
      </c>
      <c r="B579" s="157" t="s">
        <v>6869</v>
      </c>
      <c r="C579" s="156">
        <v>0.14</v>
      </c>
      <c r="D579" s="156">
        <v>0.22</v>
      </c>
      <c r="E579" s="156">
        <v>0.05</v>
      </c>
      <c r="F579" s="157"/>
      <c r="G579" s="157"/>
      <c r="H579" s="157"/>
      <c r="I579" s="157"/>
      <c r="J579" s="157"/>
      <c r="K579" s="54"/>
      <c r="L579" s="157" t="s">
        <v>6869</v>
      </c>
      <c r="M579" s="159" t="s">
        <v>6869</v>
      </c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</row>
    <row r="580">
      <c r="A580" s="156">
        <v>7.290000068343E12</v>
      </c>
      <c r="B580" s="157" t="s">
        <v>6870</v>
      </c>
      <c r="C580" s="156">
        <v>0.09</v>
      </c>
      <c r="D580" s="156">
        <v>0.235</v>
      </c>
      <c r="E580" s="156">
        <v>0.09</v>
      </c>
      <c r="F580" s="157"/>
      <c r="G580" s="157"/>
      <c r="H580" s="157"/>
      <c r="I580" s="157"/>
      <c r="J580" s="157"/>
      <c r="K580" s="54"/>
      <c r="L580" s="157" t="s">
        <v>6870</v>
      </c>
      <c r="M580" s="159" t="s">
        <v>6870</v>
      </c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</row>
    <row r="581">
      <c r="A581" s="156">
        <v>7.290006984647E12</v>
      </c>
      <c r="B581" s="157" t="s">
        <v>6871</v>
      </c>
      <c r="C581" s="156">
        <v>0.14</v>
      </c>
      <c r="D581" s="156">
        <v>0.22</v>
      </c>
      <c r="E581" s="156">
        <v>0.05</v>
      </c>
      <c r="F581" s="157"/>
      <c r="G581" s="157"/>
      <c r="H581" s="157"/>
      <c r="I581" s="157"/>
      <c r="J581" s="157"/>
      <c r="K581" s="54"/>
      <c r="L581" s="157" t="s">
        <v>6871</v>
      </c>
      <c r="M581" s="159" t="s">
        <v>6871</v>
      </c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</row>
    <row r="582">
      <c r="A582" s="156">
        <v>7.290000078762E12</v>
      </c>
      <c r="B582" s="157" t="s">
        <v>6869</v>
      </c>
      <c r="C582" s="156">
        <v>0.14</v>
      </c>
      <c r="D582" s="156">
        <v>0.22</v>
      </c>
      <c r="E582" s="156">
        <v>0.05</v>
      </c>
      <c r="F582" s="157"/>
      <c r="G582" s="157"/>
      <c r="H582" s="157"/>
      <c r="I582" s="157"/>
      <c r="J582" s="157"/>
      <c r="K582" s="54"/>
      <c r="L582" s="157" t="s">
        <v>6869</v>
      </c>
      <c r="M582" s="159" t="s">
        <v>6869</v>
      </c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52"/>
      <c r="Y582" s="152"/>
      <c r="Z582" s="152"/>
    </row>
    <row r="583">
      <c r="A583" s="156">
        <v>7.290106527386E12</v>
      </c>
      <c r="B583" s="156" t="s">
        <v>1300</v>
      </c>
      <c r="C583" s="156">
        <v>0.13</v>
      </c>
      <c r="D583" s="156">
        <v>0.18</v>
      </c>
      <c r="E583" s="156">
        <v>0.03</v>
      </c>
      <c r="F583" s="157"/>
      <c r="G583" s="157"/>
      <c r="H583" s="157"/>
      <c r="I583" s="157"/>
      <c r="J583" s="157"/>
      <c r="K583" s="54"/>
      <c r="L583" s="160" t="s">
        <v>1300</v>
      </c>
      <c r="M583" s="156" t="s">
        <v>1300</v>
      </c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</row>
    <row r="584">
      <c r="A584" s="156">
        <v>7.290106526822E12</v>
      </c>
      <c r="B584" s="156" t="s">
        <v>3610</v>
      </c>
      <c r="C584" s="156">
        <v>0.13</v>
      </c>
      <c r="D584" s="156">
        <v>0.18</v>
      </c>
      <c r="E584" s="156">
        <v>0.03</v>
      </c>
      <c r="F584" s="157"/>
      <c r="G584" s="157"/>
      <c r="H584" s="157"/>
      <c r="I584" s="157"/>
      <c r="J584" s="157"/>
      <c r="K584" s="54"/>
      <c r="L584" s="160" t="s">
        <v>3610</v>
      </c>
      <c r="M584" s="156" t="s">
        <v>3610</v>
      </c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</row>
    <row r="585">
      <c r="A585" s="156">
        <v>7.290105968777E12</v>
      </c>
      <c r="B585" s="156" t="s">
        <v>3598</v>
      </c>
      <c r="C585" s="156">
        <v>0.13</v>
      </c>
      <c r="D585" s="156">
        <v>0.18</v>
      </c>
      <c r="E585" s="156">
        <v>0.03</v>
      </c>
      <c r="F585" s="157"/>
      <c r="G585" s="157"/>
      <c r="H585" s="157"/>
      <c r="I585" s="157"/>
      <c r="J585" s="157"/>
      <c r="K585" s="54"/>
      <c r="L585" s="160" t="s">
        <v>3598</v>
      </c>
      <c r="M585" s="156" t="s">
        <v>3598</v>
      </c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</row>
    <row r="586">
      <c r="A586" s="156">
        <v>7.2901079331E12</v>
      </c>
      <c r="B586" s="156" t="s">
        <v>3585</v>
      </c>
      <c r="C586" s="156">
        <v>0.09999999</v>
      </c>
      <c r="D586" s="156">
        <v>0.26</v>
      </c>
      <c r="E586" s="156">
        <v>0.09999999</v>
      </c>
      <c r="F586" s="157"/>
      <c r="G586" s="157"/>
      <c r="H586" s="157"/>
      <c r="I586" s="157"/>
      <c r="J586" s="157"/>
      <c r="K586" s="54"/>
      <c r="L586" s="160" t="s">
        <v>3585</v>
      </c>
      <c r="M586" s="156" t="s">
        <v>3585</v>
      </c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</row>
    <row r="587">
      <c r="A587" s="156">
        <v>7.290107933117E12</v>
      </c>
      <c r="B587" s="156" t="s">
        <v>3592</v>
      </c>
      <c r="C587" s="156">
        <v>0.09999999</v>
      </c>
      <c r="D587" s="156">
        <v>0.26</v>
      </c>
      <c r="E587" s="156">
        <v>0.09999999</v>
      </c>
      <c r="F587" s="157"/>
      <c r="G587" s="157"/>
      <c r="H587" s="157"/>
      <c r="I587" s="157"/>
      <c r="J587" s="157"/>
      <c r="K587" s="54"/>
      <c r="L587" s="160" t="s">
        <v>3592</v>
      </c>
      <c r="M587" s="156" t="s">
        <v>3592</v>
      </c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</row>
    <row r="588">
      <c r="A588" s="156">
        <v>7.290107953917E12</v>
      </c>
      <c r="B588" s="156" t="s">
        <v>3604</v>
      </c>
      <c r="C588" s="156">
        <v>0.09999999</v>
      </c>
      <c r="D588" s="156">
        <v>0.26</v>
      </c>
      <c r="E588" s="156">
        <v>0.09999999</v>
      </c>
      <c r="F588" s="157"/>
      <c r="G588" s="157"/>
      <c r="H588" s="157"/>
      <c r="I588" s="157"/>
      <c r="J588" s="157"/>
      <c r="K588" s="54"/>
      <c r="L588" s="160" t="s">
        <v>3604</v>
      </c>
      <c r="M588" s="156" t="s">
        <v>3604</v>
      </c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</row>
    <row r="589">
      <c r="A589" s="156">
        <v>7.290112492258E12</v>
      </c>
      <c r="B589" s="156" t="s">
        <v>3292</v>
      </c>
      <c r="C589" s="156">
        <v>0.09999999</v>
      </c>
      <c r="D589" s="156">
        <v>0.09</v>
      </c>
      <c r="E589" s="156">
        <v>0.09999999</v>
      </c>
      <c r="F589" s="157"/>
      <c r="G589" s="157"/>
      <c r="H589" s="157"/>
      <c r="I589" s="157"/>
      <c r="J589" s="157"/>
      <c r="K589" s="54"/>
      <c r="L589" s="160" t="s">
        <v>3292</v>
      </c>
      <c r="M589" s="156" t="s">
        <v>3292</v>
      </c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</row>
    <row r="590">
      <c r="A590" s="156">
        <v>7.290112492357E12</v>
      </c>
      <c r="B590" s="156" t="s">
        <v>3284</v>
      </c>
      <c r="C590" s="156">
        <v>0.09999999</v>
      </c>
      <c r="D590" s="156">
        <v>0.09</v>
      </c>
      <c r="E590" s="156">
        <v>0.09999999</v>
      </c>
      <c r="F590" s="157"/>
      <c r="G590" s="157"/>
      <c r="H590" s="157"/>
      <c r="I590" s="157"/>
      <c r="J590" s="157"/>
      <c r="K590" s="54"/>
      <c r="L590" s="160" t="s">
        <v>3284</v>
      </c>
      <c r="M590" s="156" t="s">
        <v>3284</v>
      </c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</row>
    <row r="591">
      <c r="A591" s="156">
        <v>7.290000074481E12</v>
      </c>
      <c r="B591" s="157" t="s">
        <v>6872</v>
      </c>
      <c r="C591" s="156">
        <v>0.14</v>
      </c>
      <c r="D591" s="156">
        <v>0.135</v>
      </c>
      <c r="E591" s="156">
        <v>0.044</v>
      </c>
      <c r="F591" s="157"/>
      <c r="G591" s="157"/>
      <c r="H591" s="157"/>
      <c r="I591" s="157"/>
      <c r="J591" s="157"/>
      <c r="K591" s="54"/>
      <c r="L591" s="157" t="s">
        <v>6872</v>
      </c>
      <c r="M591" s="159" t="s">
        <v>6872</v>
      </c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</row>
    <row r="592">
      <c r="A592" s="156">
        <v>7.290006983176E12</v>
      </c>
      <c r="B592" s="157" t="s">
        <v>6873</v>
      </c>
      <c r="C592" s="156">
        <v>0.14</v>
      </c>
      <c r="D592" s="156">
        <v>0.135</v>
      </c>
      <c r="E592" s="156">
        <v>0.044</v>
      </c>
      <c r="F592" s="157"/>
      <c r="G592" s="157"/>
      <c r="H592" s="157"/>
      <c r="I592" s="157"/>
      <c r="J592" s="157"/>
      <c r="K592" s="54"/>
      <c r="L592" s="157" t="s">
        <v>6873</v>
      </c>
      <c r="M592" s="159" t="s">
        <v>6873</v>
      </c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</row>
    <row r="593">
      <c r="A593" s="156">
        <v>7.290000074252E12</v>
      </c>
      <c r="B593" s="157" t="s">
        <v>6874</v>
      </c>
      <c r="C593" s="156">
        <v>0.2</v>
      </c>
      <c r="D593" s="156">
        <v>0.075</v>
      </c>
      <c r="E593" s="156">
        <v>0.055</v>
      </c>
      <c r="F593" s="157"/>
      <c r="G593" s="157"/>
      <c r="H593" s="157"/>
      <c r="I593" s="157"/>
      <c r="J593" s="157"/>
      <c r="K593" s="54"/>
      <c r="L593" s="157" t="s">
        <v>6874</v>
      </c>
      <c r="M593" s="159" t="s">
        <v>6874</v>
      </c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</row>
    <row r="594">
      <c r="A594" s="156">
        <v>7.290112495983E12</v>
      </c>
      <c r="B594" s="156" t="s">
        <v>3708</v>
      </c>
      <c r="C594" s="156">
        <v>0.09999999</v>
      </c>
      <c r="D594" s="156">
        <v>0.09999999</v>
      </c>
      <c r="E594" s="156">
        <v>0.07</v>
      </c>
      <c r="F594" s="157"/>
      <c r="G594" s="157"/>
      <c r="H594" s="157"/>
      <c r="I594" s="157"/>
      <c r="J594" s="157"/>
      <c r="K594" s="54"/>
      <c r="L594" s="160" t="s">
        <v>3708</v>
      </c>
      <c r="M594" s="156" t="s">
        <v>3708</v>
      </c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</row>
    <row r="595">
      <c r="A595" s="156">
        <v>7.290112495976E12</v>
      </c>
      <c r="B595" s="156" t="s">
        <v>3299</v>
      </c>
      <c r="C595" s="156">
        <v>0.09999999</v>
      </c>
      <c r="D595" s="156">
        <v>0.09999999</v>
      </c>
      <c r="E595" s="156">
        <v>0.07</v>
      </c>
      <c r="F595" s="157"/>
      <c r="G595" s="157"/>
      <c r="H595" s="157"/>
      <c r="I595" s="157"/>
      <c r="J595" s="157"/>
      <c r="K595" s="54"/>
      <c r="L595" s="160" t="s">
        <v>3299</v>
      </c>
      <c r="M595" s="156" t="s">
        <v>3299</v>
      </c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</row>
    <row r="596">
      <c r="A596" s="157" t="s">
        <v>6875</v>
      </c>
      <c r="B596" s="157" t="s">
        <v>6875</v>
      </c>
      <c r="C596" s="156">
        <v>0.14</v>
      </c>
      <c r="D596" s="156">
        <v>0.18</v>
      </c>
      <c r="E596" s="156">
        <v>0.03</v>
      </c>
      <c r="F596" s="157"/>
      <c r="G596" s="157"/>
      <c r="H596" s="157"/>
      <c r="I596" s="157"/>
      <c r="J596" s="157"/>
      <c r="K596" s="54"/>
      <c r="L596" s="157" t="s">
        <v>6875</v>
      </c>
      <c r="M596" s="159" t="s">
        <v>6875</v>
      </c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</row>
    <row r="597">
      <c r="A597" s="157" t="s">
        <v>6876</v>
      </c>
      <c r="B597" s="157" t="s">
        <v>6876</v>
      </c>
      <c r="C597" s="156">
        <v>0.14</v>
      </c>
      <c r="D597" s="156">
        <v>0.18</v>
      </c>
      <c r="E597" s="156">
        <v>0.03</v>
      </c>
      <c r="F597" s="157"/>
      <c r="G597" s="157"/>
      <c r="H597" s="157"/>
      <c r="I597" s="157"/>
      <c r="J597" s="157"/>
      <c r="K597" s="54"/>
      <c r="L597" s="157" t="s">
        <v>6876</v>
      </c>
      <c r="M597" s="159" t="s">
        <v>6876</v>
      </c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</row>
    <row r="598">
      <c r="A598" s="157" t="s">
        <v>6877</v>
      </c>
      <c r="B598" s="157" t="s">
        <v>6877</v>
      </c>
      <c r="C598" s="156">
        <v>0.09</v>
      </c>
      <c r="D598" s="156">
        <v>0.12</v>
      </c>
      <c r="E598" s="156">
        <v>0.03</v>
      </c>
      <c r="F598" s="157"/>
      <c r="G598" s="157"/>
      <c r="H598" s="157"/>
      <c r="I598" s="157"/>
      <c r="J598" s="157"/>
      <c r="K598" s="54"/>
      <c r="L598" s="157" t="s">
        <v>6877</v>
      </c>
      <c r="M598" s="159" t="s">
        <v>6877</v>
      </c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</row>
    <row r="599">
      <c r="A599" s="157" t="s">
        <v>6878</v>
      </c>
      <c r="B599" s="157" t="s">
        <v>6878</v>
      </c>
      <c r="C599" s="156">
        <v>0.09</v>
      </c>
      <c r="D599" s="156">
        <v>0.12</v>
      </c>
      <c r="E599" s="156">
        <v>0.03</v>
      </c>
      <c r="F599" s="157"/>
      <c r="G599" s="157"/>
      <c r="H599" s="157"/>
      <c r="I599" s="157"/>
      <c r="J599" s="157"/>
      <c r="K599" s="54"/>
      <c r="L599" s="157" t="s">
        <v>6878</v>
      </c>
      <c r="M599" s="159" t="s">
        <v>6878</v>
      </c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</row>
    <row r="600">
      <c r="A600" s="157" t="s">
        <v>6879</v>
      </c>
      <c r="B600" s="157" t="s">
        <v>6879</v>
      </c>
      <c r="C600" s="156">
        <v>0.09</v>
      </c>
      <c r="D600" s="156">
        <v>0.12</v>
      </c>
      <c r="E600" s="156">
        <v>0.03</v>
      </c>
      <c r="F600" s="157"/>
      <c r="G600" s="157"/>
      <c r="H600" s="157"/>
      <c r="I600" s="157"/>
      <c r="J600" s="157"/>
      <c r="K600" s="54"/>
      <c r="L600" s="157" t="s">
        <v>6879</v>
      </c>
      <c r="M600" s="159" t="s">
        <v>6879</v>
      </c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52"/>
      <c r="Y600" s="152"/>
      <c r="Z600" s="152"/>
    </row>
    <row r="601">
      <c r="A601" s="156">
        <v>2043096.0</v>
      </c>
      <c r="B601" s="156" t="s">
        <v>3649</v>
      </c>
      <c r="C601" s="156">
        <v>0.12</v>
      </c>
      <c r="D601" s="156">
        <v>0.14</v>
      </c>
      <c r="E601" s="156">
        <v>0.03</v>
      </c>
      <c r="F601" s="157"/>
      <c r="G601" s="157"/>
      <c r="H601" s="157"/>
      <c r="I601" s="157"/>
      <c r="J601" s="157"/>
      <c r="K601" s="54"/>
      <c r="L601" s="160" t="s">
        <v>3649</v>
      </c>
      <c r="M601" s="156" t="s">
        <v>3649</v>
      </c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</row>
    <row r="602">
      <c r="A602" s="156">
        <v>2043072.0</v>
      </c>
      <c r="B602" s="156" t="s">
        <v>3637</v>
      </c>
      <c r="C602" s="156">
        <v>0.12</v>
      </c>
      <c r="D602" s="156">
        <v>0.14</v>
      </c>
      <c r="E602" s="156">
        <v>0.03</v>
      </c>
      <c r="F602" s="157"/>
      <c r="G602" s="157"/>
      <c r="H602" s="157"/>
      <c r="I602" s="157"/>
      <c r="J602" s="157"/>
      <c r="K602" s="54"/>
      <c r="L602" s="160" t="s">
        <v>3637</v>
      </c>
      <c r="M602" s="156" t="s">
        <v>3637</v>
      </c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</row>
    <row r="603">
      <c r="A603" s="156">
        <v>2043065.0</v>
      </c>
      <c r="B603" s="156" t="s">
        <v>3625</v>
      </c>
      <c r="C603" s="156">
        <v>0.12</v>
      </c>
      <c r="D603" s="156">
        <v>0.14</v>
      </c>
      <c r="E603" s="156">
        <v>0.03</v>
      </c>
      <c r="F603" s="157"/>
      <c r="G603" s="157"/>
      <c r="H603" s="157"/>
      <c r="I603" s="157"/>
      <c r="J603" s="157"/>
      <c r="K603" s="54"/>
      <c r="L603" s="160" t="s">
        <v>3625</v>
      </c>
      <c r="M603" s="156" t="s">
        <v>3625</v>
      </c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</row>
    <row r="604">
      <c r="A604" s="156">
        <v>2043782.0</v>
      </c>
      <c r="B604" s="156" t="s">
        <v>3686</v>
      </c>
      <c r="C604" s="156">
        <v>0.13</v>
      </c>
      <c r="D604" s="156">
        <v>0.17</v>
      </c>
      <c r="E604" s="156">
        <v>0.03</v>
      </c>
      <c r="F604" s="157"/>
      <c r="G604" s="157"/>
      <c r="H604" s="157"/>
      <c r="I604" s="157"/>
      <c r="J604" s="157"/>
      <c r="K604" s="54"/>
      <c r="L604" s="160" t="s">
        <v>3686</v>
      </c>
      <c r="M604" s="156" t="s">
        <v>3686</v>
      </c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</row>
    <row r="605">
      <c r="A605" s="156">
        <v>2043188.0</v>
      </c>
      <c r="B605" s="156" t="s">
        <v>3680</v>
      </c>
      <c r="C605" s="156">
        <v>0.13</v>
      </c>
      <c r="D605" s="156">
        <v>0.17</v>
      </c>
      <c r="E605" s="156">
        <v>0.03</v>
      </c>
      <c r="F605" s="157"/>
      <c r="G605" s="157"/>
      <c r="H605" s="157"/>
      <c r="I605" s="157"/>
      <c r="J605" s="157"/>
      <c r="K605" s="54"/>
      <c r="L605" s="160" t="s">
        <v>3680</v>
      </c>
      <c r="M605" s="156" t="s">
        <v>3680</v>
      </c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</row>
    <row r="606">
      <c r="A606" s="156">
        <v>2043126.0</v>
      </c>
      <c r="B606" s="156" t="s">
        <v>3618</v>
      </c>
      <c r="C606" s="156">
        <v>0.15</v>
      </c>
      <c r="D606" s="156">
        <v>0.09999999</v>
      </c>
      <c r="E606" s="156">
        <v>0.03</v>
      </c>
      <c r="F606" s="157"/>
      <c r="G606" s="157"/>
      <c r="H606" s="157"/>
      <c r="I606" s="157"/>
      <c r="J606" s="157"/>
      <c r="K606" s="54"/>
      <c r="L606" s="160" t="s">
        <v>3618</v>
      </c>
      <c r="M606" s="156" t="s">
        <v>3618</v>
      </c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</row>
    <row r="607">
      <c r="A607" s="156">
        <v>2043812.0</v>
      </c>
      <c r="B607" s="156" t="s">
        <v>3655</v>
      </c>
      <c r="C607" s="156">
        <v>0.15</v>
      </c>
      <c r="D607" s="156">
        <v>0.09999999</v>
      </c>
      <c r="E607" s="156">
        <v>0.03</v>
      </c>
      <c r="F607" s="157"/>
      <c r="G607" s="157"/>
      <c r="H607" s="157"/>
      <c r="I607" s="157"/>
      <c r="J607" s="157"/>
      <c r="K607" s="54"/>
      <c r="L607" s="160" t="s">
        <v>3655</v>
      </c>
      <c r="M607" s="156" t="s">
        <v>3655</v>
      </c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</row>
    <row r="608">
      <c r="A608" s="156">
        <v>2043034.0</v>
      </c>
      <c r="B608" s="156" t="s">
        <v>3631</v>
      </c>
      <c r="C608" s="156">
        <v>0.13</v>
      </c>
      <c r="D608" s="156">
        <v>0.09</v>
      </c>
      <c r="E608" s="156">
        <v>0.03</v>
      </c>
      <c r="F608" s="157"/>
      <c r="G608" s="157"/>
      <c r="H608" s="157"/>
      <c r="I608" s="157"/>
      <c r="J608" s="157"/>
      <c r="K608" s="54"/>
      <c r="L608" s="160" t="s">
        <v>3631</v>
      </c>
      <c r="M608" s="156" t="s">
        <v>3631</v>
      </c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</row>
    <row r="609">
      <c r="A609" s="156">
        <v>2043058.0</v>
      </c>
      <c r="B609" s="156" t="s">
        <v>3643</v>
      </c>
      <c r="C609" s="156">
        <v>0.13</v>
      </c>
      <c r="D609" s="156">
        <v>0.09</v>
      </c>
      <c r="E609" s="156">
        <v>0.03</v>
      </c>
      <c r="F609" s="157"/>
      <c r="G609" s="157"/>
      <c r="H609" s="157"/>
      <c r="I609" s="157"/>
      <c r="J609" s="157"/>
      <c r="K609" s="54"/>
      <c r="L609" s="160" t="s">
        <v>3643</v>
      </c>
      <c r="M609" s="156" t="s">
        <v>3643</v>
      </c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</row>
    <row r="610">
      <c r="A610" s="156">
        <v>7.290112496287E12</v>
      </c>
      <c r="B610" s="156" t="s">
        <v>3311</v>
      </c>
      <c r="C610" s="156">
        <v>0.09999999</v>
      </c>
      <c r="D610" s="156">
        <v>0.14</v>
      </c>
      <c r="E610" s="156">
        <v>0.045</v>
      </c>
      <c r="F610" s="157"/>
      <c r="G610" s="157"/>
      <c r="H610" s="157"/>
      <c r="I610" s="157"/>
      <c r="J610" s="157"/>
      <c r="K610" s="54"/>
      <c r="L610" s="160" t="s">
        <v>3311</v>
      </c>
      <c r="M610" s="156" t="s">
        <v>3311</v>
      </c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</row>
    <row r="611">
      <c r="A611" s="156">
        <v>7.290112496294E12</v>
      </c>
      <c r="B611" s="156" t="s">
        <v>3276</v>
      </c>
      <c r="C611" s="156">
        <v>0.09999999</v>
      </c>
      <c r="D611" s="156">
        <v>0.14</v>
      </c>
      <c r="E611" s="156">
        <v>0.045</v>
      </c>
      <c r="F611" s="157"/>
      <c r="G611" s="157"/>
      <c r="H611" s="157"/>
      <c r="I611" s="157"/>
      <c r="J611" s="157"/>
      <c r="K611" s="54"/>
      <c r="L611" s="160" t="s">
        <v>3276</v>
      </c>
      <c r="M611" s="156" t="s">
        <v>3276</v>
      </c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</row>
    <row r="612">
      <c r="A612" s="156">
        <v>7.29011249627E12</v>
      </c>
      <c r="B612" s="156" t="s">
        <v>6880</v>
      </c>
      <c r="C612" s="156">
        <v>0.09999999</v>
      </c>
      <c r="D612" s="156">
        <v>0.14</v>
      </c>
      <c r="E612" s="156">
        <v>0.045</v>
      </c>
      <c r="F612" s="157"/>
      <c r="G612" s="157"/>
      <c r="H612" s="157"/>
      <c r="I612" s="157"/>
      <c r="J612" s="157"/>
      <c r="K612" s="54"/>
      <c r="L612" s="160" t="s">
        <v>6880</v>
      </c>
      <c r="M612" s="156" t="s">
        <v>6880</v>
      </c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</row>
    <row r="613">
      <c r="A613" s="156">
        <v>2824640.0</v>
      </c>
      <c r="B613" s="156" t="s">
        <v>4276</v>
      </c>
      <c r="C613" s="156">
        <v>0.095</v>
      </c>
      <c r="D613" s="156">
        <v>0.07</v>
      </c>
      <c r="E613" s="156">
        <v>0.09</v>
      </c>
      <c r="F613" s="157"/>
      <c r="G613" s="157"/>
      <c r="H613" s="157"/>
      <c r="I613" s="157"/>
      <c r="J613" s="157"/>
      <c r="K613" s="54"/>
      <c r="L613" s="160" t="s">
        <v>4276</v>
      </c>
      <c r="M613" s="156" t="s">
        <v>4276</v>
      </c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</row>
    <row r="614">
      <c r="A614" s="156">
        <v>3029181.0</v>
      </c>
      <c r="B614" s="156" t="s">
        <v>5056</v>
      </c>
      <c r="C614" s="156">
        <v>0.08</v>
      </c>
      <c r="D614" s="156">
        <v>0.26</v>
      </c>
      <c r="E614" s="156">
        <v>0.075</v>
      </c>
      <c r="F614" s="157"/>
      <c r="G614" s="157"/>
      <c r="H614" s="157"/>
      <c r="I614" s="157"/>
      <c r="J614" s="157"/>
      <c r="K614" s="54"/>
      <c r="L614" s="160" t="s">
        <v>5056</v>
      </c>
      <c r="M614" s="156" t="s">
        <v>5056</v>
      </c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</row>
    <row r="615">
      <c r="A615" s="156">
        <v>3029433.0</v>
      </c>
      <c r="B615" s="156" t="s">
        <v>5081</v>
      </c>
      <c r="C615" s="156">
        <v>0.06</v>
      </c>
      <c r="D615" s="156">
        <v>0.17</v>
      </c>
      <c r="E615" s="156">
        <v>0.056</v>
      </c>
      <c r="F615" s="157"/>
      <c r="G615" s="157"/>
      <c r="H615" s="157"/>
      <c r="I615" s="157"/>
      <c r="J615" s="157"/>
      <c r="K615" s="54"/>
      <c r="L615" s="160" t="s">
        <v>5081</v>
      </c>
      <c r="M615" s="156" t="s">
        <v>5081</v>
      </c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</row>
    <row r="616">
      <c r="A616" s="156">
        <v>3029907.0</v>
      </c>
      <c r="B616" s="156" t="s">
        <v>5044</v>
      </c>
      <c r="C616" s="156">
        <v>0.08</v>
      </c>
      <c r="D616" s="156">
        <v>0.26</v>
      </c>
      <c r="E616" s="156">
        <v>0.08</v>
      </c>
      <c r="F616" s="157"/>
      <c r="G616" s="157"/>
      <c r="H616" s="157"/>
      <c r="I616" s="157"/>
      <c r="J616" s="157"/>
      <c r="K616" s="54"/>
      <c r="L616" s="160" t="s">
        <v>5044</v>
      </c>
      <c r="M616" s="156" t="s">
        <v>5044</v>
      </c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</row>
    <row r="617">
      <c r="A617" s="156">
        <v>3321155.0</v>
      </c>
      <c r="B617" s="156" t="s">
        <v>1049</v>
      </c>
      <c r="C617" s="156">
        <v>0.13</v>
      </c>
      <c r="D617" s="156">
        <v>0.075</v>
      </c>
      <c r="E617" s="156">
        <v>0.045</v>
      </c>
      <c r="F617" s="157"/>
      <c r="G617" s="157"/>
      <c r="H617" s="157"/>
      <c r="I617" s="157"/>
      <c r="J617" s="157"/>
      <c r="K617" s="54"/>
      <c r="L617" s="156" t="s">
        <v>1049</v>
      </c>
      <c r="M617" s="156" t="s">
        <v>1049</v>
      </c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</row>
    <row r="618">
      <c r="A618" s="156">
        <v>408316.0</v>
      </c>
      <c r="B618" s="156" t="s">
        <v>1033</v>
      </c>
      <c r="C618" s="156">
        <v>0.073</v>
      </c>
      <c r="D618" s="156">
        <v>0.09</v>
      </c>
      <c r="E618" s="156">
        <v>0.065</v>
      </c>
      <c r="F618" s="157"/>
      <c r="G618" s="157"/>
      <c r="H618" s="157"/>
      <c r="I618" s="157"/>
      <c r="J618" s="157"/>
      <c r="K618" s="54"/>
      <c r="L618" s="156" t="s">
        <v>1033</v>
      </c>
      <c r="M618" s="156" t="s">
        <v>1033</v>
      </c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</row>
    <row r="619">
      <c r="A619" s="156">
        <v>408354.0</v>
      </c>
      <c r="B619" s="156" t="s">
        <v>1027</v>
      </c>
      <c r="C619" s="156">
        <v>0.13</v>
      </c>
      <c r="D619" s="156">
        <v>0.075</v>
      </c>
      <c r="E619" s="156">
        <v>0.045</v>
      </c>
      <c r="F619" s="157"/>
      <c r="G619" s="157"/>
      <c r="H619" s="157"/>
      <c r="I619" s="157"/>
      <c r="J619" s="157"/>
      <c r="K619" s="54"/>
      <c r="L619" s="156" t="s">
        <v>1027</v>
      </c>
      <c r="M619" s="156" t="s">
        <v>1027</v>
      </c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</row>
    <row r="620">
      <c r="A620" s="156">
        <v>4120634.0</v>
      </c>
      <c r="B620" s="156" t="s">
        <v>3488</v>
      </c>
      <c r="C620" s="156">
        <v>0.09999999</v>
      </c>
      <c r="D620" s="156">
        <v>0.09</v>
      </c>
      <c r="E620" s="156">
        <v>0.09999999</v>
      </c>
      <c r="F620" s="157"/>
      <c r="G620" s="157"/>
      <c r="H620" s="157"/>
      <c r="I620" s="157"/>
      <c r="J620" s="157"/>
      <c r="K620" s="54"/>
      <c r="L620" s="160" t="s">
        <v>3488</v>
      </c>
      <c r="M620" s="156" t="s">
        <v>3488</v>
      </c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</row>
    <row r="621">
      <c r="A621" s="156">
        <v>4122195.0</v>
      </c>
      <c r="B621" s="156" t="s">
        <v>1758</v>
      </c>
      <c r="C621" s="156">
        <v>0.134</v>
      </c>
      <c r="D621" s="156">
        <v>0.154</v>
      </c>
      <c r="E621" s="156">
        <v>0.035</v>
      </c>
      <c r="F621" s="157"/>
      <c r="G621" s="157"/>
      <c r="H621" s="157"/>
      <c r="I621" s="157"/>
      <c r="J621" s="157"/>
      <c r="K621" s="54"/>
      <c r="L621" s="160" t="s">
        <v>1758</v>
      </c>
      <c r="M621" s="156" t="s">
        <v>1758</v>
      </c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</row>
    <row r="622">
      <c r="A622" s="156">
        <v>4125417.0</v>
      </c>
      <c r="B622" s="156" t="s">
        <v>1657</v>
      </c>
      <c r="C622" s="156">
        <v>0.07</v>
      </c>
      <c r="D622" s="156">
        <v>0.08</v>
      </c>
      <c r="E622" s="156">
        <v>0.075</v>
      </c>
      <c r="F622" s="157"/>
      <c r="G622" s="157"/>
      <c r="H622" s="157"/>
      <c r="I622" s="157"/>
      <c r="J622" s="157"/>
      <c r="K622" s="54"/>
      <c r="L622" s="160" t="s">
        <v>1657</v>
      </c>
      <c r="M622" s="156" t="s">
        <v>1657</v>
      </c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</row>
    <row r="623">
      <c r="A623" s="156">
        <v>4125455.0</v>
      </c>
      <c r="B623" s="156" t="s">
        <v>972</v>
      </c>
      <c r="C623" s="156">
        <v>0.07</v>
      </c>
      <c r="D623" s="156">
        <v>0.08</v>
      </c>
      <c r="E623" s="156">
        <v>0.075</v>
      </c>
      <c r="F623" s="157"/>
      <c r="G623" s="157"/>
      <c r="H623" s="157"/>
      <c r="I623" s="157"/>
      <c r="J623" s="157"/>
      <c r="K623" s="54"/>
      <c r="L623" s="160" t="s">
        <v>972</v>
      </c>
      <c r="M623" s="156" t="s">
        <v>972</v>
      </c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</row>
    <row r="624">
      <c r="A624" s="156">
        <v>4125578.0</v>
      </c>
      <c r="B624" s="156" t="s">
        <v>68</v>
      </c>
      <c r="C624" s="156">
        <v>0.08</v>
      </c>
      <c r="D624" s="156">
        <v>0.23</v>
      </c>
      <c r="E624" s="156">
        <v>0.07</v>
      </c>
      <c r="F624" s="157"/>
      <c r="G624" s="157"/>
      <c r="H624" s="157"/>
      <c r="I624" s="157"/>
      <c r="J624" s="157"/>
      <c r="K624" s="54"/>
      <c r="L624" s="160" t="s">
        <v>68</v>
      </c>
      <c r="M624" s="156" t="s">
        <v>68</v>
      </c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52"/>
      <c r="Y624" s="152"/>
      <c r="Z624" s="152"/>
    </row>
    <row r="625">
      <c r="A625" s="156">
        <v>4125585.0</v>
      </c>
      <c r="B625" s="156" t="s">
        <v>6881</v>
      </c>
      <c r="C625" s="156">
        <v>0.08</v>
      </c>
      <c r="D625" s="156">
        <v>0.23</v>
      </c>
      <c r="E625" s="156">
        <v>0.07</v>
      </c>
      <c r="F625" s="157"/>
      <c r="G625" s="157"/>
      <c r="H625" s="157"/>
      <c r="I625" s="157"/>
      <c r="J625" s="157"/>
      <c r="K625" s="54"/>
      <c r="L625" s="160" t="s">
        <v>6881</v>
      </c>
      <c r="M625" s="156" t="s">
        <v>6881</v>
      </c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52"/>
      <c r="Y625" s="152"/>
      <c r="Z625" s="152"/>
    </row>
    <row r="626">
      <c r="A626" s="156">
        <v>4127329.0</v>
      </c>
      <c r="B626" s="156" t="s">
        <v>941</v>
      </c>
      <c r="C626" s="156">
        <v>0.09</v>
      </c>
      <c r="D626" s="156">
        <v>0.09</v>
      </c>
      <c r="E626" s="156">
        <v>0.08</v>
      </c>
      <c r="F626" s="157"/>
      <c r="G626" s="157"/>
      <c r="H626" s="157"/>
      <c r="I626" s="157"/>
      <c r="J626" s="157"/>
      <c r="K626" s="54"/>
      <c r="L626" s="160" t="s">
        <v>941</v>
      </c>
      <c r="M626" s="156" t="s">
        <v>941</v>
      </c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52"/>
      <c r="Y626" s="152"/>
      <c r="Z626" s="152"/>
    </row>
    <row r="627">
      <c r="A627" s="156">
        <v>4129101.0</v>
      </c>
      <c r="B627" s="156" t="s">
        <v>2984</v>
      </c>
      <c r="C627" s="156">
        <v>0.09</v>
      </c>
      <c r="D627" s="156">
        <v>0.095</v>
      </c>
      <c r="E627" s="156">
        <v>0.065</v>
      </c>
      <c r="F627" s="157"/>
      <c r="G627" s="157"/>
      <c r="H627" s="157"/>
      <c r="I627" s="157"/>
      <c r="J627" s="157"/>
      <c r="K627" s="54"/>
      <c r="L627" s="160" t="s">
        <v>2984</v>
      </c>
      <c r="M627" s="156" t="s">
        <v>2984</v>
      </c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52"/>
      <c r="Y627" s="152"/>
      <c r="Z627" s="152"/>
    </row>
    <row r="628">
      <c r="A628" s="156">
        <v>4129118.0</v>
      </c>
      <c r="B628" s="156" t="s">
        <v>2970</v>
      </c>
      <c r="C628" s="156">
        <v>0.09</v>
      </c>
      <c r="D628" s="156">
        <v>0.095</v>
      </c>
      <c r="E628" s="156">
        <v>0.065</v>
      </c>
      <c r="F628" s="157"/>
      <c r="G628" s="157"/>
      <c r="H628" s="157"/>
      <c r="I628" s="157"/>
      <c r="J628" s="157"/>
      <c r="K628" s="54"/>
      <c r="L628" s="160" t="s">
        <v>2970</v>
      </c>
      <c r="M628" s="156" t="s">
        <v>2970</v>
      </c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52"/>
      <c r="Y628" s="152"/>
      <c r="Z628" s="152"/>
    </row>
    <row r="629">
      <c r="A629" s="156">
        <v>4136130.0</v>
      </c>
      <c r="B629" s="156" t="s">
        <v>4747</v>
      </c>
      <c r="C629" s="156">
        <v>0.06</v>
      </c>
      <c r="D629" s="156">
        <v>0.17</v>
      </c>
      <c r="E629" s="156">
        <v>0.06</v>
      </c>
      <c r="F629" s="157"/>
      <c r="G629" s="157"/>
      <c r="H629" s="157"/>
      <c r="I629" s="157"/>
      <c r="J629" s="157"/>
      <c r="K629" s="54"/>
      <c r="L629" s="160" t="s">
        <v>4747</v>
      </c>
      <c r="M629" s="156" t="s">
        <v>4747</v>
      </c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52"/>
      <c r="Y629" s="152"/>
      <c r="Z629" s="152"/>
    </row>
    <row r="630">
      <c r="A630" s="156">
        <v>4136154.0</v>
      </c>
      <c r="B630" s="156" t="s">
        <v>4759</v>
      </c>
      <c r="C630" s="156">
        <v>0.06</v>
      </c>
      <c r="D630" s="156">
        <v>0.17</v>
      </c>
      <c r="E630" s="156">
        <v>0.06</v>
      </c>
      <c r="F630" s="157"/>
      <c r="G630" s="157"/>
      <c r="H630" s="157"/>
      <c r="I630" s="157"/>
      <c r="J630" s="157"/>
      <c r="K630" s="54"/>
      <c r="L630" s="160" t="s">
        <v>4759</v>
      </c>
      <c r="M630" s="156" t="s">
        <v>4759</v>
      </c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</row>
    <row r="631">
      <c r="A631" s="156">
        <v>41858.0</v>
      </c>
      <c r="B631" s="156" t="s">
        <v>6882</v>
      </c>
      <c r="C631" s="156">
        <v>0.07</v>
      </c>
      <c r="D631" s="156">
        <v>0.075</v>
      </c>
      <c r="E631" s="156">
        <v>0.075</v>
      </c>
      <c r="F631" s="157"/>
      <c r="G631" s="157"/>
      <c r="H631" s="157"/>
      <c r="I631" s="157"/>
      <c r="J631" s="157"/>
      <c r="K631" s="54"/>
      <c r="L631" s="160" t="s">
        <v>6882</v>
      </c>
      <c r="M631" s="156" t="s">
        <v>6882</v>
      </c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</row>
    <row r="632">
      <c r="A632" s="156">
        <v>42435.0</v>
      </c>
      <c r="B632" s="156" t="s">
        <v>2782</v>
      </c>
      <c r="C632" s="156">
        <v>0.075</v>
      </c>
      <c r="D632" s="156">
        <v>0.232</v>
      </c>
      <c r="E632" s="156">
        <v>0.07</v>
      </c>
      <c r="F632" s="157"/>
      <c r="G632" s="157"/>
      <c r="H632" s="157"/>
      <c r="I632" s="157"/>
      <c r="J632" s="157"/>
      <c r="K632" s="54"/>
      <c r="L632" s="160" t="s">
        <v>2782</v>
      </c>
      <c r="M632" s="156" t="s">
        <v>2782</v>
      </c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</row>
    <row r="633">
      <c r="A633" s="156">
        <v>42442.0</v>
      </c>
      <c r="B633" s="156" t="s">
        <v>2797</v>
      </c>
      <c r="C633" s="156">
        <v>0.075</v>
      </c>
      <c r="D633" s="156">
        <v>0.232</v>
      </c>
      <c r="E633" s="156">
        <v>0.07</v>
      </c>
      <c r="F633" s="157"/>
      <c r="G633" s="157"/>
      <c r="H633" s="157"/>
      <c r="I633" s="157"/>
      <c r="J633" s="157"/>
      <c r="K633" s="54"/>
      <c r="L633" s="160" t="s">
        <v>2797</v>
      </c>
      <c r="M633" s="156" t="s">
        <v>2797</v>
      </c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</row>
    <row r="634">
      <c r="A634" s="156">
        <v>42855.0</v>
      </c>
      <c r="B634" s="156" t="s">
        <v>697</v>
      </c>
      <c r="C634" s="156">
        <v>0.09</v>
      </c>
      <c r="D634" s="156">
        <v>0.145</v>
      </c>
      <c r="E634" s="156">
        <v>0.09</v>
      </c>
      <c r="F634" s="157"/>
      <c r="G634" s="157"/>
      <c r="H634" s="157"/>
      <c r="I634" s="157"/>
      <c r="J634" s="157"/>
      <c r="K634" s="54"/>
      <c r="L634" s="160" t="s">
        <v>697</v>
      </c>
      <c r="M634" s="156" t="s">
        <v>697</v>
      </c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</row>
    <row r="635">
      <c r="A635" s="156">
        <v>43814.0</v>
      </c>
      <c r="B635" s="156" t="s">
        <v>1780</v>
      </c>
      <c r="C635" s="156">
        <v>0.07</v>
      </c>
      <c r="D635" s="156">
        <v>0.09</v>
      </c>
      <c r="E635" s="156">
        <v>0.07</v>
      </c>
      <c r="F635" s="157"/>
      <c r="G635" s="157"/>
      <c r="H635" s="157"/>
      <c r="I635" s="157"/>
      <c r="J635" s="157"/>
      <c r="K635" s="54"/>
      <c r="L635" s="160" t="s">
        <v>1780</v>
      </c>
      <c r="M635" s="156" t="s">
        <v>1780</v>
      </c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</row>
    <row r="636">
      <c r="A636" s="156">
        <v>44248.0</v>
      </c>
      <c r="B636" s="156" t="s">
        <v>4006</v>
      </c>
      <c r="C636" s="156">
        <v>0.073</v>
      </c>
      <c r="D636" s="156">
        <v>0.14</v>
      </c>
      <c r="E636" s="156">
        <v>0.073</v>
      </c>
      <c r="F636" s="157"/>
      <c r="G636" s="157"/>
      <c r="H636" s="157"/>
      <c r="I636" s="157"/>
      <c r="J636" s="157"/>
      <c r="K636" s="54"/>
      <c r="L636" s="160" t="s">
        <v>4006</v>
      </c>
      <c r="M636" s="156" t="s">
        <v>4006</v>
      </c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</row>
    <row r="637">
      <c r="A637" s="156">
        <v>4584351.0</v>
      </c>
      <c r="B637" s="156" t="s">
        <v>4537</v>
      </c>
      <c r="C637" s="156">
        <v>0.122</v>
      </c>
      <c r="D637" s="156">
        <v>0.06</v>
      </c>
      <c r="E637" s="156">
        <v>0.08</v>
      </c>
      <c r="F637" s="157"/>
      <c r="G637" s="157"/>
      <c r="H637" s="157"/>
      <c r="I637" s="157"/>
      <c r="J637" s="157"/>
      <c r="K637" s="54"/>
      <c r="L637" s="156" t="s">
        <v>4537</v>
      </c>
      <c r="M637" s="156" t="s">
        <v>4537</v>
      </c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</row>
    <row r="638">
      <c r="A638" s="156">
        <v>48185.0</v>
      </c>
      <c r="B638" s="156" t="s">
        <v>4881</v>
      </c>
      <c r="C638" s="156">
        <v>0.09</v>
      </c>
      <c r="D638" s="156">
        <v>0.09</v>
      </c>
      <c r="E638" s="156">
        <v>0.08</v>
      </c>
      <c r="F638" s="157"/>
      <c r="G638" s="157"/>
      <c r="H638" s="157"/>
      <c r="I638" s="157"/>
      <c r="J638" s="157"/>
      <c r="K638" s="54"/>
      <c r="L638" s="160" t="s">
        <v>4881</v>
      </c>
      <c r="M638" s="156" t="s">
        <v>4881</v>
      </c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</row>
    <row r="639">
      <c r="A639" s="156">
        <v>48437.0</v>
      </c>
      <c r="B639" s="156" t="s">
        <v>3500</v>
      </c>
      <c r="C639" s="156">
        <v>0.11</v>
      </c>
      <c r="D639" s="156">
        <v>0.09999999</v>
      </c>
      <c r="E639" s="156">
        <v>0.065</v>
      </c>
      <c r="F639" s="157"/>
      <c r="G639" s="157"/>
      <c r="H639" s="157"/>
      <c r="I639" s="157"/>
      <c r="J639" s="157"/>
      <c r="K639" s="54"/>
      <c r="L639" s="160" t="s">
        <v>3500</v>
      </c>
      <c r="M639" s="156" t="s">
        <v>3500</v>
      </c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</row>
    <row r="640">
      <c r="A640" s="156">
        <v>51710.0</v>
      </c>
      <c r="B640" s="156" t="s">
        <v>3475</v>
      </c>
      <c r="C640" s="156">
        <v>0.11</v>
      </c>
      <c r="D640" s="156">
        <v>0.09999999</v>
      </c>
      <c r="E640" s="156">
        <v>0.11</v>
      </c>
      <c r="F640" s="157"/>
      <c r="G640" s="157"/>
      <c r="H640" s="157"/>
      <c r="I640" s="157"/>
      <c r="J640" s="157"/>
      <c r="K640" s="54"/>
      <c r="L640" s="160" t="s">
        <v>3475</v>
      </c>
      <c r="M640" s="156" t="s">
        <v>3475</v>
      </c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</row>
    <row r="641">
      <c r="A641" s="156">
        <v>52304.0</v>
      </c>
      <c r="B641" s="156" t="s">
        <v>4753</v>
      </c>
      <c r="C641" s="156">
        <v>0.06</v>
      </c>
      <c r="D641" s="156">
        <v>0.17</v>
      </c>
      <c r="E641" s="156">
        <v>0.07</v>
      </c>
      <c r="F641" s="157"/>
      <c r="G641" s="157"/>
      <c r="H641" s="157"/>
      <c r="I641" s="157"/>
      <c r="J641" s="157"/>
      <c r="K641" s="54"/>
      <c r="L641" s="160" t="s">
        <v>4753</v>
      </c>
      <c r="M641" s="156" t="s">
        <v>4753</v>
      </c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</row>
    <row r="642">
      <c r="A642" s="156">
        <v>55329.0</v>
      </c>
      <c r="B642" s="156" t="s">
        <v>5037</v>
      </c>
      <c r="C642" s="156">
        <v>0.06</v>
      </c>
      <c r="D642" s="156">
        <v>0.16</v>
      </c>
      <c r="E642" s="156">
        <v>0.055</v>
      </c>
      <c r="F642" s="157"/>
      <c r="G642" s="157"/>
      <c r="H642" s="157"/>
      <c r="I642" s="157"/>
      <c r="J642" s="157"/>
      <c r="K642" s="54"/>
      <c r="L642" s="160" t="s">
        <v>5037</v>
      </c>
      <c r="M642" s="156" t="s">
        <v>5037</v>
      </c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</row>
    <row r="643">
      <c r="A643" s="156">
        <v>5838002.0</v>
      </c>
      <c r="B643" s="156" t="s">
        <v>1008</v>
      </c>
      <c r="C643" s="156">
        <v>0.075</v>
      </c>
      <c r="D643" s="156">
        <v>0.061</v>
      </c>
      <c r="E643" s="156">
        <v>0.125</v>
      </c>
      <c r="F643" s="157"/>
      <c r="G643" s="157"/>
      <c r="H643" s="157"/>
      <c r="I643" s="157"/>
      <c r="J643" s="157"/>
      <c r="K643" s="54"/>
      <c r="L643" s="160" t="s">
        <v>1008</v>
      </c>
      <c r="M643" s="156" t="s">
        <v>1008</v>
      </c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</row>
    <row r="644">
      <c r="A644" s="156">
        <v>5839108.0</v>
      </c>
      <c r="B644" s="156" t="s">
        <v>4546</v>
      </c>
      <c r="C644" s="156">
        <v>0.122</v>
      </c>
      <c r="D644" s="156">
        <v>0.06</v>
      </c>
      <c r="E644" s="156">
        <v>0.08</v>
      </c>
      <c r="F644" s="157"/>
      <c r="G644" s="157"/>
      <c r="H644" s="157"/>
      <c r="I644" s="157"/>
      <c r="J644" s="157"/>
      <c r="K644" s="54"/>
      <c r="L644" s="160" t="s">
        <v>4546</v>
      </c>
      <c r="M644" s="156" t="s">
        <v>4546</v>
      </c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</row>
    <row r="645">
      <c r="A645" s="156">
        <v>5839313.0</v>
      </c>
      <c r="B645" s="156" t="s">
        <v>2762</v>
      </c>
      <c r="C645" s="156">
        <v>0.07</v>
      </c>
      <c r="D645" s="156">
        <v>0.09</v>
      </c>
      <c r="E645" s="156">
        <v>0.07</v>
      </c>
      <c r="F645" s="157"/>
      <c r="G645" s="157"/>
      <c r="H645" s="157"/>
      <c r="I645" s="157"/>
      <c r="J645" s="157"/>
      <c r="K645" s="54"/>
      <c r="L645" s="160" t="s">
        <v>2762</v>
      </c>
      <c r="M645" s="156" t="s">
        <v>2762</v>
      </c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</row>
    <row r="646">
      <c r="A646" s="156">
        <v>7.290011194246E12</v>
      </c>
      <c r="B646" s="156" t="s">
        <v>930</v>
      </c>
      <c r="C646" s="156">
        <v>0.09</v>
      </c>
      <c r="D646" s="156">
        <v>0.07</v>
      </c>
      <c r="E646" s="156">
        <v>0.095</v>
      </c>
      <c r="F646" s="157"/>
      <c r="G646" s="157"/>
      <c r="H646" s="157"/>
      <c r="I646" s="157"/>
      <c r="J646" s="157"/>
      <c r="K646" s="54"/>
      <c r="L646" s="160" t="s">
        <v>930</v>
      </c>
      <c r="M646" s="156" t="s">
        <v>930</v>
      </c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</row>
    <row r="647">
      <c r="A647" s="156">
        <v>7.290011438142E12</v>
      </c>
      <c r="B647" s="156" t="s">
        <v>5069</v>
      </c>
      <c r="C647" s="156">
        <v>0.06</v>
      </c>
      <c r="D647" s="156">
        <v>0.17</v>
      </c>
      <c r="E647" s="156">
        <v>0.065</v>
      </c>
      <c r="F647" s="157"/>
      <c r="G647" s="157"/>
      <c r="H647" s="157"/>
      <c r="I647" s="157"/>
      <c r="J647" s="157"/>
      <c r="K647" s="54"/>
      <c r="L647" s="160" t="s">
        <v>5069</v>
      </c>
      <c r="M647" s="156" t="s">
        <v>5069</v>
      </c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</row>
    <row r="648">
      <c r="A648" s="156">
        <v>7.290014760141E12</v>
      </c>
      <c r="B648" s="156" t="s">
        <v>59</v>
      </c>
      <c r="C648" s="156">
        <v>0.075</v>
      </c>
      <c r="D648" s="156">
        <v>0.232</v>
      </c>
      <c r="E648" s="156">
        <v>0.07</v>
      </c>
      <c r="F648" s="157"/>
      <c r="G648" s="157"/>
      <c r="H648" s="157"/>
      <c r="I648" s="157"/>
      <c r="J648" s="157"/>
      <c r="K648" s="54"/>
      <c r="L648" s="160" t="s">
        <v>59</v>
      </c>
      <c r="M648" s="156" t="s">
        <v>59</v>
      </c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</row>
    <row r="649">
      <c r="A649" s="156">
        <v>7.290104066016E12</v>
      </c>
      <c r="B649" s="156" t="s">
        <v>2768</v>
      </c>
      <c r="C649" s="156">
        <v>0.065</v>
      </c>
      <c r="D649" s="156">
        <v>0.09</v>
      </c>
      <c r="E649" s="156">
        <v>0.065</v>
      </c>
      <c r="F649" s="157"/>
      <c r="G649" s="157"/>
      <c r="H649" s="157"/>
      <c r="I649" s="157"/>
      <c r="J649" s="157"/>
      <c r="K649" s="54"/>
      <c r="L649" s="160" t="s">
        <v>2768</v>
      </c>
      <c r="M649" s="156" t="s">
        <v>2768</v>
      </c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</row>
    <row r="650">
      <c r="A650" s="156">
        <v>7.290105965738E12</v>
      </c>
      <c r="B650" s="156" t="s">
        <v>1041</v>
      </c>
      <c r="C650" s="156">
        <v>0.06</v>
      </c>
      <c r="D650" s="156">
        <v>0.155</v>
      </c>
      <c r="E650" s="156">
        <v>0.06</v>
      </c>
      <c r="F650" s="157"/>
      <c r="G650" s="157"/>
      <c r="H650" s="157"/>
      <c r="I650" s="157"/>
      <c r="J650" s="157"/>
      <c r="K650" s="54"/>
      <c r="L650" s="160" t="s">
        <v>1041</v>
      </c>
      <c r="M650" s="156" t="s">
        <v>1041</v>
      </c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</row>
    <row r="651">
      <c r="A651" s="156">
        <v>7.290106663121E12</v>
      </c>
      <c r="B651" s="156" t="s">
        <v>2753</v>
      </c>
      <c r="C651" s="156">
        <v>0.06</v>
      </c>
      <c r="D651" s="156">
        <v>0.09999999</v>
      </c>
      <c r="E651" s="156">
        <v>0.02</v>
      </c>
      <c r="F651" s="157"/>
      <c r="G651" s="157"/>
      <c r="H651" s="157"/>
      <c r="I651" s="157"/>
      <c r="J651" s="157"/>
      <c r="K651" s="54"/>
      <c r="L651" s="160" t="s">
        <v>2753</v>
      </c>
      <c r="M651" s="156" t="s">
        <v>2753</v>
      </c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</row>
    <row r="652">
      <c r="A652" s="156">
        <v>7.29010793208E12</v>
      </c>
      <c r="B652" s="156" t="s">
        <v>2804</v>
      </c>
      <c r="C652" s="156">
        <v>0.08</v>
      </c>
      <c r="D652" s="156">
        <v>0.23</v>
      </c>
      <c r="E652" s="156">
        <v>0.08</v>
      </c>
      <c r="F652" s="157"/>
      <c r="G652" s="157"/>
      <c r="H652" s="157"/>
      <c r="I652" s="157"/>
      <c r="J652" s="157"/>
      <c r="K652" s="54"/>
      <c r="L652" s="160" t="s">
        <v>2804</v>
      </c>
      <c r="M652" s="156" t="s">
        <v>2804</v>
      </c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</row>
    <row r="653">
      <c r="A653" s="156">
        <v>7.290107951395E12</v>
      </c>
      <c r="B653" s="156" t="s">
        <v>3920</v>
      </c>
      <c r="C653" s="156">
        <v>0.055</v>
      </c>
      <c r="D653" s="156">
        <v>0.16</v>
      </c>
      <c r="E653" s="156">
        <v>0.055</v>
      </c>
      <c r="F653" s="157"/>
      <c r="G653" s="157"/>
      <c r="H653" s="157"/>
      <c r="I653" s="157"/>
      <c r="J653" s="157"/>
      <c r="K653" s="54"/>
      <c r="L653" s="160" t="s">
        <v>3920</v>
      </c>
      <c r="M653" s="156" t="s">
        <v>3920</v>
      </c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</row>
    <row r="654">
      <c r="A654" s="156">
        <v>7.290107951401E12</v>
      </c>
      <c r="B654" s="156" t="s">
        <v>3908</v>
      </c>
      <c r="C654" s="156">
        <v>0.055</v>
      </c>
      <c r="D654" s="156">
        <v>0.16</v>
      </c>
      <c r="E654" s="156">
        <v>0.055</v>
      </c>
      <c r="F654" s="157"/>
      <c r="G654" s="157"/>
      <c r="H654" s="157"/>
      <c r="I654" s="157"/>
      <c r="J654" s="157"/>
      <c r="K654" s="54"/>
      <c r="L654" s="160" t="s">
        <v>3908</v>
      </c>
      <c r="M654" s="156" t="s">
        <v>3908</v>
      </c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</row>
    <row r="655">
      <c r="A655" s="156">
        <v>7.290107954976E12</v>
      </c>
      <c r="B655" s="156" t="s">
        <v>3914</v>
      </c>
      <c r="C655" s="156">
        <v>0.06</v>
      </c>
      <c r="D655" s="156">
        <v>0.175</v>
      </c>
      <c r="E655" s="156">
        <v>0.06</v>
      </c>
      <c r="F655" s="157"/>
      <c r="G655" s="157"/>
      <c r="H655" s="157"/>
      <c r="I655" s="157"/>
      <c r="J655" s="157"/>
      <c r="K655" s="54"/>
      <c r="L655" s="160" t="s">
        <v>3914</v>
      </c>
      <c r="M655" s="156" t="s">
        <v>3914</v>
      </c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</row>
    <row r="656">
      <c r="A656" s="156">
        <v>7.290110324773E12</v>
      </c>
      <c r="B656" s="156" t="s">
        <v>1711</v>
      </c>
      <c r="C656" s="156">
        <v>0.055</v>
      </c>
      <c r="D656" s="156">
        <v>0.17</v>
      </c>
      <c r="E656" s="156">
        <v>0.08</v>
      </c>
      <c r="F656" s="157"/>
      <c r="G656" s="157"/>
      <c r="H656" s="157"/>
      <c r="I656" s="157"/>
      <c r="J656" s="157"/>
      <c r="K656" s="54"/>
      <c r="L656" s="160" t="s">
        <v>1711</v>
      </c>
      <c r="M656" s="156" t="s">
        <v>1711</v>
      </c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</row>
    <row r="657">
      <c r="A657" s="156">
        <v>7.290110325619E12</v>
      </c>
      <c r="B657" s="156" t="s">
        <v>76</v>
      </c>
      <c r="C657" s="156">
        <v>0.08</v>
      </c>
      <c r="D657" s="156">
        <v>0.23</v>
      </c>
      <c r="E657" s="156">
        <v>0.08</v>
      </c>
      <c r="F657" s="157"/>
      <c r="G657" s="157"/>
      <c r="H657" s="157"/>
      <c r="I657" s="157"/>
      <c r="J657" s="157"/>
      <c r="K657" s="54"/>
      <c r="L657" s="160" t="s">
        <v>76</v>
      </c>
      <c r="M657" s="156" t="s">
        <v>76</v>
      </c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52"/>
      <c r="Y657" s="152"/>
      <c r="Z657" s="152"/>
    </row>
    <row r="658">
      <c r="A658" s="156">
        <v>7.290110325893E12</v>
      </c>
      <c r="B658" s="156" t="s">
        <v>1705</v>
      </c>
      <c r="C658" s="156">
        <v>0.055</v>
      </c>
      <c r="D658" s="156">
        <v>0.17</v>
      </c>
      <c r="E658" s="156">
        <v>0.08</v>
      </c>
      <c r="F658" s="157"/>
      <c r="G658" s="157"/>
      <c r="H658" s="157"/>
      <c r="I658" s="157"/>
      <c r="J658" s="157"/>
      <c r="K658" s="54"/>
      <c r="L658" s="160" t="s">
        <v>1705</v>
      </c>
      <c r="M658" s="156" t="s">
        <v>1705</v>
      </c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52"/>
      <c r="Y658" s="152"/>
      <c r="Z658" s="152"/>
    </row>
    <row r="659">
      <c r="A659" s="156">
        <v>7.29011032621E12</v>
      </c>
      <c r="B659" s="156" t="s">
        <v>4988</v>
      </c>
      <c r="C659" s="156">
        <v>0.08</v>
      </c>
      <c r="D659" s="156">
        <v>0.07</v>
      </c>
      <c r="E659" s="156">
        <v>0.065</v>
      </c>
      <c r="F659" s="157"/>
      <c r="G659" s="157"/>
      <c r="H659" s="157"/>
      <c r="I659" s="157"/>
      <c r="J659" s="157"/>
      <c r="K659" s="54"/>
      <c r="L659" s="160" t="s">
        <v>4988</v>
      </c>
      <c r="M659" s="156" t="s">
        <v>4988</v>
      </c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</row>
    <row r="660">
      <c r="A660" s="156">
        <v>7.290110326241E12</v>
      </c>
      <c r="B660" s="156" t="s">
        <v>4994</v>
      </c>
      <c r="C660" s="156">
        <v>0.08</v>
      </c>
      <c r="D660" s="156">
        <v>0.07</v>
      </c>
      <c r="E660" s="156">
        <v>0.065</v>
      </c>
      <c r="F660" s="157"/>
      <c r="G660" s="157"/>
      <c r="H660" s="157"/>
      <c r="I660" s="157"/>
      <c r="J660" s="157"/>
      <c r="K660" s="54"/>
      <c r="L660" s="160" t="s">
        <v>4994</v>
      </c>
      <c r="M660" s="156" t="s">
        <v>4994</v>
      </c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</row>
    <row r="661">
      <c r="A661" s="156">
        <v>7.290110563431E12</v>
      </c>
      <c r="B661" s="156" t="s">
        <v>1893</v>
      </c>
      <c r="C661" s="156">
        <v>0.08</v>
      </c>
      <c r="D661" s="156">
        <v>0.13</v>
      </c>
      <c r="E661" s="156">
        <v>0.08</v>
      </c>
      <c r="F661" s="157"/>
      <c r="G661" s="157"/>
      <c r="H661" s="157"/>
      <c r="I661" s="157"/>
      <c r="J661" s="157"/>
      <c r="K661" s="54"/>
      <c r="L661" s="160" t="s">
        <v>1893</v>
      </c>
      <c r="M661" s="156" t="s">
        <v>1893</v>
      </c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</row>
    <row r="662">
      <c r="A662" s="156">
        <v>7.290110563448E12</v>
      </c>
      <c r="B662" s="156" t="s">
        <v>6883</v>
      </c>
      <c r="C662" s="156">
        <v>0.08</v>
      </c>
      <c r="D662" s="156">
        <v>0.13</v>
      </c>
      <c r="E662" s="156">
        <v>0.08</v>
      </c>
      <c r="F662" s="157"/>
      <c r="G662" s="157"/>
      <c r="H662" s="157"/>
      <c r="I662" s="157"/>
      <c r="J662" s="157"/>
      <c r="K662" s="54"/>
      <c r="L662" s="160" t="s">
        <v>6883</v>
      </c>
      <c r="M662" s="156" t="s">
        <v>6883</v>
      </c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</row>
    <row r="663">
      <c r="A663" s="156">
        <v>7.290110564742E12</v>
      </c>
      <c r="B663" s="156" t="s">
        <v>1899</v>
      </c>
      <c r="C663" s="156">
        <v>0.08</v>
      </c>
      <c r="D663" s="156">
        <v>0.13</v>
      </c>
      <c r="E663" s="156">
        <v>0.08</v>
      </c>
      <c r="F663" s="157"/>
      <c r="G663" s="157"/>
      <c r="H663" s="157"/>
      <c r="I663" s="157"/>
      <c r="J663" s="157"/>
      <c r="K663" s="54"/>
      <c r="L663" s="160" t="s">
        <v>1899</v>
      </c>
      <c r="M663" s="156" t="s">
        <v>1899</v>
      </c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</row>
    <row r="664">
      <c r="A664" s="156">
        <v>7.290110566975E12</v>
      </c>
      <c r="B664" s="156" t="s">
        <v>1018</v>
      </c>
      <c r="C664" s="156">
        <v>0.073</v>
      </c>
      <c r="D664" s="156">
        <v>0.07</v>
      </c>
      <c r="E664" s="156">
        <v>0.095</v>
      </c>
      <c r="F664" s="157"/>
      <c r="G664" s="157"/>
      <c r="H664" s="157"/>
      <c r="I664" s="157"/>
      <c r="J664" s="157"/>
      <c r="K664" s="54"/>
      <c r="L664" s="160" t="s">
        <v>1018</v>
      </c>
      <c r="M664" s="156" t="s">
        <v>1018</v>
      </c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</row>
    <row r="665">
      <c r="A665" s="156">
        <v>7.290110568276E12</v>
      </c>
      <c r="B665" s="156" t="s">
        <v>1075</v>
      </c>
      <c r="C665" s="156">
        <v>0.062</v>
      </c>
      <c r="D665" s="156">
        <v>0.173</v>
      </c>
      <c r="E665" s="156">
        <v>0.062</v>
      </c>
      <c r="F665" s="157"/>
      <c r="G665" s="157"/>
      <c r="H665" s="157"/>
      <c r="I665" s="157"/>
      <c r="J665" s="157"/>
      <c r="K665" s="54"/>
      <c r="L665" s="160" t="s">
        <v>1075</v>
      </c>
      <c r="M665" s="156" t="s">
        <v>1075</v>
      </c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</row>
    <row r="666">
      <c r="A666" s="156">
        <v>7.29011233097E12</v>
      </c>
      <c r="B666" s="156" t="s">
        <v>3926</v>
      </c>
      <c r="C666" s="156">
        <v>0.062</v>
      </c>
      <c r="D666" s="156">
        <v>0.173</v>
      </c>
      <c r="E666" s="156">
        <v>0.062</v>
      </c>
      <c r="F666" s="157"/>
      <c r="G666" s="157"/>
      <c r="H666" s="157"/>
      <c r="I666" s="157"/>
      <c r="J666" s="157"/>
      <c r="K666" s="54"/>
      <c r="L666" s="160" t="s">
        <v>3926</v>
      </c>
      <c r="M666" s="156" t="s">
        <v>3926</v>
      </c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</row>
    <row r="667">
      <c r="A667" s="156">
        <v>7.290112341112E12</v>
      </c>
      <c r="B667" s="156" t="s">
        <v>5075</v>
      </c>
      <c r="C667" s="156">
        <v>0.06</v>
      </c>
      <c r="D667" s="156">
        <v>0.17</v>
      </c>
      <c r="E667" s="156">
        <v>0.055</v>
      </c>
      <c r="F667" s="157"/>
      <c r="G667" s="157"/>
      <c r="H667" s="157"/>
      <c r="I667" s="157"/>
      <c r="J667" s="157"/>
      <c r="K667" s="54"/>
      <c r="L667" s="160" t="s">
        <v>5075</v>
      </c>
      <c r="M667" s="156" t="s">
        <v>5075</v>
      </c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</row>
    <row r="668">
      <c r="A668" s="156">
        <v>7.290112342621E12</v>
      </c>
      <c r="B668" s="156" t="s">
        <v>5087</v>
      </c>
      <c r="C668" s="156">
        <v>0.06</v>
      </c>
      <c r="D668" s="156">
        <v>0.17</v>
      </c>
      <c r="E668" s="156">
        <v>0.06</v>
      </c>
      <c r="F668" s="157"/>
      <c r="G668" s="157"/>
      <c r="H668" s="157"/>
      <c r="I668" s="157"/>
      <c r="J668" s="157"/>
      <c r="K668" s="54"/>
      <c r="L668" s="160" t="s">
        <v>5087</v>
      </c>
      <c r="M668" s="156" t="s">
        <v>5087</v>
      </c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52"/>
      <c r="Y668" s="152"/>
      <c r="Z668" s="152"/>
    </row>
    <row r="669">
      <c r="A669" s="156">
        <v>7.29011234342E12</v>
      </c>
      <c r="B669" s="156" t="s">
        <v>3902</v>
      </c>
      <c r="C669" s="156">
        <v>0.062</v>
      </c>
      <c r="D669" s="156">
        <v>0.173</v>
      </c>
      <c r="E669" s="156">
        <v>0.065</v>
      </c>
      <c r="F669" s="157"/>
      <c r="G669" s="157"/>
      <c r="H669" s="157"/>
      <c r="I669" s="157"/>
      <c r="J669" s="157"/>
      <c r="K669" s="54"/>
      <c r="L669" s="160" t="s">
        <v>3902</v>
      </c>
      <c r="M669" s="156" t="s">
        <v>3902</v>
      </c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52"/>
      <c r="Y669" s="152"/>
      <c r="Z669" s="152"/>
    </row>
    <row r="670">
      <c r="A670" s="156">
        <v>7.2940761E7</v>
      </c>
      <c r="B670" s="156" t="s">
        <v>2745</v>
      </c>
      <c r="C670" s="156">
        <v>0.07</v>
      </c>
      <c r="D670" s="156">
        <v>0.08</v>
      </c>
      <c r="E670" s="156">
        <v>0.07</v>
      </c>
      <c r="F670" s="157"/>
      <c r="G670" s="157"/>
      <c r="H670" s="157"/>
      <c r="I670" s="157"/>
      <c r="J670" s="157"/>
      <c r="K670" s="54"/>
      <c r="L670" s="160" t="s">
        <v>2745</v>
      </c>
      <c r="M670" s="156" t="s">
        <v>2745</v>
      </c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52"/>
      <c r="Y670" s="152"/>
      <c r="Z670" s="152"/>
    </row>
    <row r="671">
      <c r="A671" s="156">
        <v>7.2963104E7</v>
      </c>
      <c r="B671" s="156" t="s">
        <v>549</v>
      </c>
      <c r="C671" s="156">
        <v>0.09</v>
      </c>
      <c r="D671" s="156">
        <v>0.053</v>
      </c>
      <c r="E671" s="156">
        <v>0.02</v>
      </c>
      <c r="F671" s="157"/>
      <c r="G671" s="157"/>
      <c r="H671" s="157"/>
      <c r="I671" s="157"/>
      <c r="J671" s="157"/>
      <c r="K671" s="54"/>
      <c r="L671" s="160" t="s">
        <v>549</v>
      </c>
      <c r="M671" s="156" t="s">
        <v>549</v>
      </c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152"/>
    </row>
    <row r="672">
      <c r="A672" s="156">
        <v>7.29010793365E12</v>
      </c>
      <c r="B672" s="156" t="s">
        <v>4306</v>
      </c>
      <c r="C672" s="156">
        <v>0.055</v>
      </c>
      <c r="D672" s="156">
        <v>0.16</v>
      </c>
      <c r="E672" s="156">
        <v>0.04</v>
      </c>
      <c r="F672" s="157"/>
      <c r="G672" s="157"/>
      <c r="H672" s="157"/>
      <c r="I672" s="157"/>
      <c r="J672" s="157"/>
      <c r="K672" s="54"/>
      <c r="L672" s="160" t="s">
        <v>4306</v>
      </c>
      <c r="M672" s="156" t="s">
        <v>4306</v>
      </c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52"/>
      <c r="Y672" s="152"/>
      <c r="Z672" s="152"/>
    </row>
    <row r="673">
      <c r="A673" s="156">
        <v>7.290107933643E12</v>
      </c>
      <c r="B673" s="156" t="s">
        <v>4300</v>
      </c>
      <c r="C673" s="156">
        <v>0.06</v>
      </c>
      <c r="D673" s="156">
        <v>0.16</v>
      </c>
      <c r="E673" s="156">
        <v>0.04</v>
      </c>
      <c r="F673" s="157"/>
      <c r="G673" s="157"/>
      <c r="H673" s="157"/>
      <c r="I673" s="157"/>
      <c r="J673" s="157"/>
      <c r="K673" s="54"/>
      <c r="L673" s="160" t="s">
        <v>4300</v>
      </c>
      <c r="M673" s="156" t="s">
        <v>4300</v>
      </c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52"/>
      <c r="Y673" s="152"/>
      <c r="Z673" s="152"/>
    </row>
    <row r="674">
      <c r="A674" s="156">
        <v>55336.0</v>
      </c>
      <c r="B674" s="156" t="s">
        <v>5031</v>
      </c>
      <c r="C674" s="156">
        <v>0.06</v>
      </c>
      <c r="D674" s="156">
        <v>0.16</v>
      </c>
      <c r="E674" s="156">
        <v>0.05</v>
      </c>
      <c r="F674" s="157"/>
      <c r="G674" s="157"/>
      <c r="H674" s="157"/>
      <c r="I674" s="157"/>
      <c r="J674" s="157"/>
      <c r="K674" s="54"/>
      <c r="L674" s="160" t="s">
        <v>5031</v>
      </c>
      <c r="M674" s="156" t="s">
        <v>5031</v>
      </c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52"/>
      <c r="Y674" s="152"/>
      <c r="Z674" s="152"/>
    </row>
    <row r="675">
      <c r="A675" s="156">
        <v>7.290107932134E12</v>
      </c>
      <c r="B675" s="156" t="s">
        <v>2790</v>
      </c>
      <c r="C675" s="156">
        <v>0.08</v>
      </c>
      <c r="D675" s="156">
        <v>0.232</v>
      </c>
      <c r="E675" s="156">
        <v>0.07</v>
      </c>
      <c r="F675" s="157"/>
      <c r="G675" s="157"/>
      <c r="H675" s="157"/>
      <c r="I675" s="157"/>
      <c r="J675" s="157"/>
      <c r="K675" s="54"/>
      <c r="L675" s="160" t="s">
        <v>2790</v>
      </c>
      <c r="M675" s="156" t="s">
        <v>2790</v>
      </c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</row>
    <row r="676">
      <c r="A676" s="156">
        <v>7.290110324612E12</v>
      </c>
      <c r="B676" s="156" t="s">
        <v>6884</v>
      </c>
      <c r="C676" s="156">
        <v>0.075</v>
      </c>
      <c r="D676" s="156">
        <v>0.08</v>
      </c>
      <c r="E676" s="156">
        <v>0.075</v>
      </c>
      <c r="F676" s="157"/>
      <c r="G676" s="157"/>
      <c r="H676" s="157"/>
      <c r="I676" s="157"/>
      <c r="J676" s="157"/>
      <c r="K676" s="54"/>
      <c r="L676" s="160" t="s">
        <v>6884</v>
      </c>
      <c r="M676" s="156" t="s">
        <v>6884</v>
      </c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</row>
    <row r="677">
      <c r="A677" s="156">
        <v>3029532.0</v>
      </c>
      <c r="B677" s="156" t="s">
        <v>5050</v>
      </c>
      <c r="C677" s="156">
        <v>0.08</v>
      </c>
      <c r="D677" s="156">
        <v>0.26</v>
      </c>
      <c r="E677" s="156">
        <v>0.075</v>
      </c>
      <c r="F677" s="157"/>
      <c r="G677" s="157"/>
      <c r="H677" s="157"/>
      <c r="I677" s="157"/>
      <c r="J677" s="157"/>
      <c r="K677" s="54"/>
      <c r="L677" s="160" t="s">
        <v>5050</v>
      </c>
      <c r="M677" s="156" t="s">
        <v>5050</v>
      </c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</row>
    <row r="678">
      <c r="A678" s="156">
        <v>40042.0</v>
      </c>
      <c r="B678" s="156" t="s">
        <v>5024</v>
      </c>
      <c r="C678" s="156">
        <v>0.073</v>
      </c>
      <c r="D678" s="156">
        <v>0.072</v>
      </c>
      <c r="E678" s="156">
        <v>0.075</v>
      </c>
      <c r="F678" s="157"/>
      <c r="G678" s="157"/>
      <c r="H678" s="157"/>
      <c r="I678" s="157"/>
      <c r="J678" s="157"/>
      <c r="K678" s="54"/>
      <c r="L678" s="160" t="s">
        <v>5024</v>
      </c>
      <c r="M678" s="156" t="s">
        <v>5024</v>
      </c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</row>
    <row r="679">
      <c r="A679" s="156">
        <v>40080.0</v>
      </c>
      <c r="B679" s="156" t="s">
        <v>5018</v>
      </c>
      <c r="C679" s="156">
        <v>0.073</v>
      </c>
      <c r="D679" s="156">
        <v>0.072</v>
      </c>
      <c r="E679" s="156">
        <v>0.075</v>
      </c>
      <c r="F679" s="157"/>
      <c r="G679" s="157"/>
      <c r="H679" s="157"/>
      <c r="I679" s="157"/>
      <c r="J679" s="157"/>
      <c r="K679" s="54"/>
      <c r="L679" s="160" t="s">
        <v>5018</v>
      </c>
      <c r="M679" s="156" t="s">
        <v>5018</v>
      </c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</row>
    <row r="680">
      <c r="A680" s="156">
        <v>4120566.0</v>
      </c>
      <c r="B680" s="156" t="s">
        <v>3467</v>
      </c>
      <c r="C680" s="156">
        <v>0.09999999</v>
      </c>
      <c r="D680" s="156">
        <v>0.09</v>
      </c>
      <c r="E680" s="156">
        <v>0.075</v>
      </c>
      <c r="F680" s="157"/>
      <c r="G680" s="157"/>
      <c r="H680" s="157"/>
      <c r="I680" s="157"/>
      <c r="J680" s="157"/>
      <c r="K680" s="54"/>
      <c r="L680" s="160" t="s">
        <v>3467</v>
      </c>
      <c r="M680" s="156" t="s">
        <v>3467</v>
      </c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</row>
    <row r="681">
      <c r="A681" s="156">
        <v>4120573.0</v>
      </c>
      <c r="B681" s="156" t="s">
        <v>3482</v>
      </c>
      <c r="C681" s="156">
        <v>0.09999999</v>
      </c>
      <c r="D681" s="156">
        <v>0.09</v>
      </c>
      <c r="E681" s="156">
        <v>0.075</v>
      </c>
      <c r="F681" s="157"/>
      <c r="G681" s="157"/>
      <c r="H681" s="157"/>
      <c r="I681" s="157"/>
      <c r="J681" s="157"/>
      <c r="K681" s="54"/>
      <c r="L681" s="160" t="s">
        <v>3482</v>
      </c>
      <c r="M681" s="156" t="s">
        <v>3482</v>
      </c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</row>
    <row r="682">
      <c r="A682" s="156">
        <v>4129156.0</v>
      </c>
      <c r="B682" s="156" t="s">
        <v>2978</v>
      </c>
      <c r="C682" s="156">
        <v>0.09</v>
      </c>
      <c r="D682" s="156">
        <v>0.095</v>
      </c>
      <c r="E682" s="156">
        <v>0.075</v>
      </c>
      <c r="F682" s="157"/>
      <c r="G682" s="157"/>
      <c r="H682" s="157"/>
      <c r="I682" s="157"/>
      <c r="J682" s="157"/>
      <c r="K682" s="54"/>
      <c r="L682" s="160" t="s">
        <v>2978</v>
      </c>
      <c r="M682" s="156" t="s">
        <v>2978</v>
      </c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</row>
    <row r="683">
      <c r="A683" s="156">
        <v>4131531.0</v>
      </c>
      <c r="B683" s="156" t="s">
        <v>706</v>
      </c>
      <c r="C683" s="156">
        <v>0.08</v>
      </c>
      <c r="D683" s="156">
        <v>0.26</v>
      </c>
      <c r="E683" s="156">
        <v>0.075</v>
      </c>
      <c r="F683" s="157"/>
      <c r="G683" s="157"/>
      <c r="H683" s="157"/>
      <c r="I683" s="157"/>
      <c r="J683" s="157"/>
      <c r="K683" s="54"/>
      <c r="L683" s="160" t="s">
        <v>706</v>
      </c>
      <c r="M683" s="156" t="s">
        <v>706</v>
      </c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</row>
    <row r="684">
      <c r="A684" s="156">
        <v>4132231.0</v>
      </c>
      <c r="B684" s="156" t="s">
        <v>904</v>
      </c>
      <c r="C684" s="156">
        <v>0.08</v>
      </c>
      <c r="D684" s="156">
        <v>0.232</v>
      </c>
      <c r="E684" s="156">
        <v>0.075</v>
      </c>
      <c r="F684" s="157"/>
      <c r="G684" s="157"/>
      <c r="H684" s="157"/>
      <c r="I684" s="157"/>
      <c r="J684" s="157"/>
      <c r="K684" s="54"/>
      <c r="L684" s="160" t="s">
        <v>904</v>
      </c>
      <c r="M684" s="156" t="s">
        <v>904</v>
      </c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</row>
    <row r="685">
      <c r="A685" s="156">
        <v>4137809.0</v>
      </c>
      <c r="B685" s="156" t="s">
        <v>3494</v>
      </c>
      <c r="C685" s="156">
        <v>0.11</v>
      </c>
      <c r="D685" s="156">
        <v>0.09999999</v>
      </c>
      <c r="E685" s="156">
        <v>0.075</v>
      </c>
      <c r="F685" s="157"/>
      <c r="G685" s="157"/>
      <c r="H685" s="157"/>
      <c r="I685" s="157"/>
      <c r="J685" s="157"/>
      <c r="K685" s="54"/>
      <c r="L685" s="160" t="s">
        <v>3494</v>
      </c>
      <c r="M685" s="156" t="s">
        <v>3494</v>
      </c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</row>
    <row r="686">
      <c r="A686" s="156">
        <v>4584528.0</v>
      </c>
      <c r="B686" s="156" t="s">
        <v>1083</v>
      </c>
      <c r="C686" s="156">
        <v>0.073</v>
      </c>
      <c r="D686" s="156">
        <v>0.09</v>
      </c>
      <c r="E686" s="156">
        <v>0.075</v>
      </c>
      <c r="F686" s="157"/>
      <c r="G686" s="157"/>
      <c r="H686" s="157"/>
      <c r="I686" s="157"/>
      <c r="J686" s="157"/>
      <c r="K686" s="54"/>
      <c r="L686" s="160" t="s">
        <v>1083</v>
      </c>
      <c r="M686" s="156" t="s">
        <v>1083</v>
      </c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</row>
    <row r="687">
      <c r="A687" s="156">
        <v>45917.0</v>
      </c>
      <c r="B687" s="156" t="s">
        <v>1504</v>
      </c>
      <c r="C687" s="156">
        <v>0.063</v>
      </c>
      <c r="D687" s="156">
        <v>0.15</v>
      </c>
      <c r="E687" s="156">
        <v>0.075</v>
      </c>
      <c r="F687" s="157"/>
      <c r="G687" s="157"/>
      <c r="H687" s="157"/>
      <c r="I687" s="157"/>
      <c r="J687" s="157"/>
      <c r="K687" s="54"/>
      <c r="L687" s="160" t="s">
        <v>1504</v>
      </c>
      <c r="M687" s="156" t="s">
        <v>1504</v>
      </c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</row>
    <row r="688">
      <c r="A688" s="156">
        <v>7.290014763678E12</v>
      </c>
      <c r="B688" s="156" t="s">
        <v>1718</v>
      </c>
      <c r="C688" s="156">
        <v>0.07</v>
      </c>
      <c r="D688" s="156">
        <v>0.15</v>
      </c>
      <c r="E688" s="156">
        <v>0.075</v>
      </c>
      <c r="F688" s="157"/>
      <c r="G688" s="157"/>
      <c r="H688" s="157"/>
      <c r="I688" s="157"/>
      <c r="J688" s="157"/>
      <c r="K688" s="54"/>
      <c r="L688" s="160" t="s">
        <v>1718</v>
      </c>
      <c r="M688" s="156" t="s">
        <v>1718</v>
      </c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</row>
    <row r="689">
      <c r="A689" s="156">
        <v>7.290106664067E12</v>
      </c>
      <c r="B689" s="156" t="s">
        <v>2308</v>
      </c>
      <c r="C689" s="156">
        <v>0.11</v>
      </c>
      <c r="D689" s="156">
        <v>0.09999999</v>
      </c>
      <c r="E689" s="156">
        <v>0.075</v>
      </c>
      <c r="F689" s="157"/>
      <c r="G689" s="157"/>
      <c r="H689" s="157"/>
      <c r="I689" s="157"/>
      <c r="J689" s="157"/>
      <c r="K689" s="54"/>
      <c r="L689" s="160" t="s">
        <v>2308</v>
      </c>
      <c r="M689" s="156" t="s">
        <v>2308</v>
      </c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</row>
    <row r="690">
      <c r="A690" s="156">
        <v>7.29011032168E12</v>
      </c>
      <c r="B690" s="156" t="s">
        <v>4974</v>
      </c>
      <c r="C690" s="156">
        <v>0.073</v>
      </c>
      <c r="D690" s="156">
        <v>0.072</v>
      </c>
      <c r="E690" s="156">
        <v>0.075</v>
      </c>
      <c r="F690" s="157"/>
      <c r="G690" s="157"/>
      <c r="H690" s="157"/>
      <c r="I690" s="157"/>
      <c r="J690" s="157"/>
      <c r="K690" s="54"/>
      <c r="L690" s="160" t="s">
        <v>4974</v>
      </c>
      <c r="M690" s="156" t="s">
        <v>4974</v>
      </c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</row>
    <row r="691">
      <c r="A691" s="156">
        <v>7.290110321703E12</v>
      </c>
      <c r="B691" s="156" t="s">
        <v>4981</v>
      </c>
      <c r="C691" s="156">
        <v>0.073</v>
      </c>
      <c r="D691" s="156">
        <v>0.072</v>
      </c>
      <c r="E691" s="156">
        <v>0.075</v>
      </c>
      <c r="F691" s="157"/>
      <c r="G691" s="157"/>
      <c r="H691" s="157"/>
      <c r="I691" s="157"/>
      <c r="J691" s="157"/>
      <c r="K691" s="54"/>
      <c r="L691" s="160" t="s">
        <v>4981</v>
      </c>
      <c r="M691" s="156" t="s">
        <v>4981</v>
      </c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</row>
    <row r="692">
      <c r="A692" s="156">
        <v>7.290110323066E12</v>
      </c>
      <c r="B692" s="156" t="s">
        <v>1666</v>
      </c>
      <c r="C692" s="156">
        <v>0.062</v>
      </c>
      <c r="D692" s="156">
        <v>0.173</v>
      </c>
      <c r="E692" s="156">
        <v>0.075</v>
      </c>
      <c r="F692" s="157"/>
      <c r="G692" s="157"/>
      <c r="H692" s="157"/>
      <c r="I692" s="157"/>
      <c r="J692" s="157"/>
      <c r="K692" s="54"/>
      <c r="L692" s="160" t="s">
        <v>1666</v>
      </c>
      <c r="M692" s="156" t="s">
        <v>1666</v>
      </c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</row>
    <row r="693">
      <c r="A693" s="156">
        <v>7.290110323073E12</v>
      </c>
      <c r="B693" s="156" t="s">
        <v>1673</v>
      </c>
      <c r="C693" s="156">
        <v>0.062</v>
      </c>
      <c r="D693" s="156">
        <v>0.173</v>
      </c>
      <c r="E693" s="156">
        <v>0.075</v>
      </c>
      <c r="F693" s="157"/>
      <c r="G693" s="157"/>
      <c r="H693" s="157"/>
      <c r="I693" s="157"/>
      <c r="J693" s="157"/>
      <c r="K693" s="54"/>
      <c r="L693" s="156" t="s">
        <v>1673</v>
      </c>
      <c r="M693" s="156" t="s">
        <v>1673</v>
      </c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</row>
    <row r="694">
      <c r="A694" s="156">
        <v>7.290110324636E12</v>
      </c>
      <c r="B694" s="156" t="s">
        <v>5006</v>
      </c>
      <c r="C694" s="156">
        <v>0.075</v>
      </c>
      <c r="D694" s="156">
        <v>0.08</v>
      </c>
      <c r="E694" s="156">
        <v>0.075</v>
      </c>
      <c r="F694" s="157"/>
      <c r="G694" s="157"/>
      <c r="H694" s="157"/>
      <c r="I694" s="157"/>
      <c r="J694" s="157"/>
      <c r="K694" s="54"/>
      <c r="L694" s="160" t="s">
        <v>5006</v>
      </c>
      <c r="M694" s="156" t="s">
        <v>5006</v>
      </c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</row>
    <row r="695">
      <c r="A695" s="156">
        <v>7.290110325886E12</v>
      </c>
      <c r="B695" s="156" t="s">
        <v>1724</v>
      </c>
      <c r="C695" s="156">
        <v>0.07</v>
      </c>
      <c r="D695" s="156">
        <v>0.15</v>
      </c>
      <c r="E695" s="156">
        <v>0.075</v>
      </c>
      <c r="F695" s="157"/>
      <c r="G695" s="157"/>
      <c r="H695" s="157"/>
      <c r="I695" s="157"/>
      <c r="J695" s="157"/>
      <c r="K695" s="54"/>
      <c r="L695" s="160" t="s">
        <v>1724</v>
      </c>
      <c r="M695" s="156" t="s">
        <v>1724</v>
      </c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</row>
    <row r="696">
      <c r="A696" s="156">
        <v>7.290110326234E12</v>
      </c>
      <c r="B696" s="156" t="s">
        <v>5000</v>
      </c>
      <c r="C696" s="156">
        <v>0.08</v>
      </c>
      <c r="D696" s="156">
        <v>0.072</v>
      </c>
      <c r="E696" s="156">
        <v>0.075</v>
      </c>
      <c r="F696" s="157"/>
      <c r="G696" s="157"/>
      <c r="H696" s="157"/>
      <c r="I696" s="157"/>
      <c r="J696" s="157"/>
      <c r="K696" s="54"/>
      <c r="L696" s="160" t="s">
        <v>5000</v>
      </c>
      <c r="M696" s="156" t="s">
        <v>5000</v>
      </c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</row>
    <row r="697">
      <c r="A697" s="156">
        <v>7.290110326999E12</v>
      </c>
      <c r="B697" s="156" t="s">
        <v>4961</v>
      </c>
      <c r="C697" s="156">
        <v>0.06</v>
      </c>
      <c r="D697" s="156">
        <v>0.17</v>
      </c>
      <c r="E697" s="156">
        <v>0.075</v>
      </c>
      <c r="F697" s="157"/>
      <c r="G697" s="157"/>
      <c r="H697" s="157"/>
      <c r="I697" s="157"/>
      <c r="J697" s="157"/>
      <c r="K697" s="54"/>
      <c r="L697" s="160" t="s">
        <v>4961</v>
      </c>
      <c r="M697" s="156" t="s">
        <v>4961</v>
      </c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</row>
    <row r="698">
      <c r="A698" s="156">
        <v>7.290110565497E12</v>
      </c>
      <c r="B698" s="156" t="s">
        <v>3896</v>
      </c>
      <c r="C698" s="156">
        <v>0.062</v>
      </c>
      <c r="D698" s="156">
        <v>0.173</v>
      </c>
      <c r="E698" s="156">
        <v>0.075</v>
      </c>
      <c r="F698" s="157"/>
      <c r="G698" s="157"/>
      <c r="H698" s="157"/>
      <c r="I698" s="157"/>
      <c r="J698" s="157"/>
      <c r="K698" s="54"/>
      <c r="L698" s="160" t="s">
        <v>3896</v>
      </c>
      <c r="M698" s="156" t="s">
        <v>3896</v>
      </c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</row>
    <row r="699">
      <c r="A699" s="156">
        <v>7.290110565527E12</v>
      </c>
      <c r="B699" s="156" t="s">
        <v>6885</v>
      </c>
      <c r="C699" s="156">
        <v>0.073</v>
      </c>
      <c r="D699" s="156">
        <v>0.07</v>
      </c>
      <c r="E699" s="156">
        <v>0.075</v>
      </c>
      <c r="F699" s="157"/>
      <c r="G699" s="157"/>
      <c r="H699" s="157"/>
      <c r="I699" s="157"/>
      <c r="J699" s="157"/>
      <c r="K699" s="54"/>
      <c r="L699" s="160" t="s">
        <v>6885</v>
      </c>
      <c r="M699" s="156" t="s">
        <v>6885</v>
      </c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</row>
    <row r="700">
      <c r="A700" s="156">
        <v>7.290112330987E12</v>
      </c>
      <c r="B700" s="156" t="s">
        <v>3932</v>
      </c>
      <c r="C700" s="156">
        <v>0.062</v>
      </c>
      <c r="D700" s="156">
        <v>0.173</v>
      </c>
      <c r="E700" s="156">
        <v>0.075</v>
      </c>
      <c r="F700" s="157"/>
      <c r="G700" s="157"/>
      <c r="H700" s="157"/>
      <c r="I700" s="157"/>
      <c r="J700" s="157"/>
      <c r="K700" s="54"/>
      <c r="L700" s="160" t="s">
        <v>3932</v>
      </c>
      <c r="M700" s="156" t="s">
        <v>3932</v>
      </c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</row>
    <row r="701">
      <c r="A701" s="156">
        <v>7.290014763272E12</v>
      </c>
      <c r="B701" s="156" t="s">
        <v>98</v>
      </c>
      <c r="C701" s="156">
        <v>0.06</v>
      </c>
      <c r="D701" s="156">
        <v>0.16</v>
      </c>
      <c r="E701" s="156">
        <v>0.075</v>
      </c>
      <c r="F701" s="157"/>
      <c r="G701" s="157"/>
      <c r="H701" s="157"/>
      <c r="I701" s="157"/>
      <c r="J701" s="157"/>
      <c r="K701" s="54"/>
      <c r="L701" s="160" t="s">
        <v>98</v>
      </c>
      <c r="M701" s="156" t="s">
        <v>98</v>
      </c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</row>
    <row r="702">
      <c r="A702" s="156">
        <v>7.290014763289E12</v>
      </c>
      <c r="B702" s="156" t="s">
        <v>90</v>
      </c>
      <c r="C702" s="156">
        <v>0.06</v>
      </c>
      <c r="D702" s="156">
        <v>0.16</v>
      </c>
      <c r="E702" s="156">
        <v>0.075</v>
      </c>
      <c r="F702" s="157"/>
      <c r="G702" s="157"/>
      <c r="H702" s="157"/>
      <c r="I702" s="157"/>
      <c r="J702" s="157"/>
      <c r="K702" s="54"/>
      <c r="L702" s="160" t="s">
        <v>90</v>
      </c>
      <c r="M702" s="156" t="s">
        <v>90</v>
      </c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</row>
    <row r="703">
      <c r="A703" s="156">
        <v>7.290112346698E12</v>
      </c>
      <c r="B703" s="156" t="s">
        <v>1062</v>
      </c>
      <c r="C703" s="156">
        <v>0.073</v>
      </c>
      <c r="D703" s="156">
        <v>0.155</v>
      </c>
      <c r="E703" s="156">
        <v>0.075</v>
      </c>
      <c r="F703" s="157"/>
      <c r="G703" s="157"/>
      <c r="H703" s="157"/>
      <c r="I703" s="157"/>
      <c r="J703" s="157"/>
      <c r="K703" s="54"/>
      <c r="L703" s="160" t="s">
        <v>1062</v>
      </c>
      <c r="M703" s="156" t="s">
        <v>1062</v>
      </c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</row>
    <row r="704">
      <c r="A704" s="156">
        <v>7.290112330352E12</v>
      </c>
      <c r="B704" s="156" t="s">
        <v>1055</v>
      </c>
      <c r="C704" s="156">
        <v>0.073</v>
      </c>
      <c r="D704" s="156">
        <v>0.072</v>
      </c>
      <c r="E704" s="156">
        <v>0.075</v>
      </c>
      <c r="F704" s="157"/>
      <c r="G704" s="157"/>
      <c r="H704" s="157"/>
      <c r="I704" s="157"/>
      <c r="J704" s="157"/>
      <c r="K704" s="54"/>
      <c r="L704" s="160" t="s">
        <v>1055</v>
      </c>
      <c r="M704" s="156" t="s">
        <v>1055</v>
      </c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</row>
    <row r="705">
      <c r="A705" s="156">
        <v>7.290105368959E12</v>
      </c>
      <c r="B705" s="156" t="s">
        <v>5063</v>
      </c>
      <c r="C705" s="156">
        <v>0.06</v>
      </c>
      <c r="D705" s="156">
        <v>0.17</v>
      </c>
      <c r="E705" s="156">
        <v>0.075</v>
      </c>
      <c r="F705" s="157"/>
      <c r="G705" s="157"/>
      <c r="H705" s="157"/>
      <c r="I705" s="157"/>
      <c r="J705" s="157"/>
      <c r="K705" s="54"/>
      <c r="L705" s="156" t="s">
        <v>5063</v>
      </c>
      <c r="M705" s="156" t="s">
        <v>5063</v>
      </c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</row>
    <row r="706">
      <c r="A706" s="156">
        <v>7.290107933315E12</v>
      </c>
      <c r="B706" s="156" t="s">
        <v>2775</v>
      </c>
      <c r="C706" s="156">
        <v>0.073</v>
      </c>
      <c r="D706" s="156">
        <v>0.232</v>
      </c>
      <c r="E706" s="156">
        <v>0.075</v>
      </c>
      <c r="F706" s="157"/>
      <c r="G706" s="157"/>
      <c r="H706" s="157"/>
      <c r="I706" s="157"/>
      <c r="J706" s="157"/>
      <c r="K706" s="54"/>
      <c r="L706" s="160" t="s">
        <v>2775</v>
      </c>
      <c r="M706" s="156" t="s">
        <v>2775</v>
      </c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</row>
    <row r="707">
      <c r="A707" s="156">
        <v>5431128.0</v>
      </c>
      <c r="B707" s="156" t="s">
        <v>6886</v>
      </c>
      <c r="C707" s="156">
        <v>0.073</v>
      </c>
      <c r="D707" s="156">
        <v>0.072</v>
      </c>
      <c r="E707" s="156">
        <v>0.075</v>
      </c>
      <c r="F707" s="157"/>
      <c r="G707" s="157"/>
      <c r="H707" s="157"/>
      <c r="I707" s="157"/>
      <c r="J707" s="157"/>
      <c r="K707" s="54"/>
      <c r="L707" s="160" t="s">
        <v>6886</v>
      </c>
      <c r="M707" s="156" t="s">
        <v>6886</v>
      </c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</row>
    <row r="708">
      <c r="A708" s="156">
        <v>5431999.0</v>
      </c>
      <c r="B708" s="156" t="s">
        <v>6887</v>
      </c>
      <c r="C708" s="156">
        <v>0.073</v>
      </c>
      <c r="D708" s="156">
        <v>0.072</v>
      </c>
      <c r="E708" s="156">
        <v>0.075</v>
      </c>
      <c r="F708" s="157"/>
      <c r="G708" s="157"/>
      <c r="H708" s="157"/>
      <c r="I708" s="157"/>
      <c r="J708" s="157"/>
      <c r="K708" s="54"/>
      <c r="L708" s="156" t="s">
        <v>6887</v>
      </c>
      <c r="M708" s="156" t="s">
        <v>6887</v>
      </c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</row>
    <row r="709">
      <c r="A709" s="156">
        <v>65557.0</v>
      </c>
      <c r="B709" s="156" t="s">
        <v>2524</v>
      </c>
      <c r="C709" s="156">
        <v>0.08</v>
      </c>
      <c r="D709" s="156">
        <v>0.09999999</v>
      </c>
      <c r="E709" s="156">
        <v>0.02</v>
      </c>
      <c r="F709" s="157"/>
      <c r="G709" s="157"/>
      <c r="H709" s="157"/>
      <c r="I709" s="157"/>
      <c r="J709" s="157"/>
      <c r="K709" s="54"/>
      <c r="L709" s="160" t="s">
        <v>2524</v>
      </c>
      <c r="M709" s="156" t="s">
        <v>2524</v>
      </c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</row>
    <row r="710">
      <c r="A710" s="156">
        <v>67599.0</v>
      </c>
      <c r="B710" s="156" t="s">
        <v>2530</v>
      </c>
      <c r="C710" s="156">
        <v>0.08</v>
      </c>
      <c r="D710" s="156">
        <v>0.09999999</v>
      </c>
      <c r="E710" s="156">
        <v>0.02</v>
      </c>
      <c r="F710" s="157"/>
      <c r="G710" s="157"/>
      <c r="H710" s="157"/>
      <c r="I710" s="157"/>
      <c r="J710" s="157"/>
      <c r="K710" s="54"/>
      <c r="L710" s="160" t="s">
        <v>2530</v>
      </c>
      <c r="M710" s="156" t="s">
        <v>2530</v>
      </c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</row>
    <row r="711">
      <c r="A711" s="156">
        <v>7.290100247808E12</v>
      </c>
      <c r="B711" s="156" t="s">
        <v>2928</v>
      </c>
      <c r="C711" s="156">
        <v>0.065</v>
      </c>
      <c r="D711" s="156">
        <v>0.09999999</v>
      </c>
      <c r="E711" s="156">
        <v>0.02</v>
      </c>
      <c r="F711" s="157"/>
      <c r="G711" s="157"/>
      <c r="H711" s="157"/>
      <c r="I711" s="157"/>
      <c r="J711" s="157"/>
      <c r="K711" s="54"/>
      <c r="L711" s="160" t="s">
        <v>2928</v>
      </c>
      <c r="M711" s="156" t="s">
        <v>2928</v>
      </c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</row>
    <row r="712">
      <c r="A712" s="156">
        <v>7.290100247815E12</v>
      </c>
      <c r="B712" s="156" t="s">
        <v>2937</v>
      </c>
      <c r="C712" s="156">
        <v>0.065</v>
      </c>
      <c r="D712" s="156">
        <v>0.09999999</v>
      </c>
      <c r="E712" s="156">
        <v>0.02</v>
      </c>
      <c r="F712" s="157"/>
      <c r="G712" s="157"/>
      <c r="H712" s="157"/>
      <c r="I712" s="157"/>
      <c r="J712" s="157"/>
      <c r="K712" s="54"/>
      <c r="L712" s="160" t="s">
        <v>2937</v>
      </c>
      <c r="M712" s="156" t="s">
        <v>2937</v>
      </c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</row>
    <row r="713">
      <c r="A713" s="156">
        <v>7.290100247822E12</v>
      </c>
      <c r="B713" s="156" t="s">
        <v>2962</v>
      </c>
      <c r="C713" s="156">
        <v>0.065</v>
      </c>
      <c r="D713" s="156">
        <v>0.09999999</v>
      </c>
      <c r="E713" s="156">
        <v>0.02</v>
      </c>
      <c r="F713" s="157"/>
      <c r="G713" s="157"/>
      <c r="H713" s="157"/>
      <c r="I713" s="157"/>
      <c r="J713" s="157"/>
      <c r="K713" s="54"/>
      <c r="L713" s="160" t="s">
        <v>2962</v>
      </c>
      <c r="M713" s="156" t="s">
        <v>2962</v>
      </c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</row>
    <row r="714">
      <c r="A714" s="156">
        <v>7.290100247839E12</v>
      </c>
      <c r="B714" s="156" t="s">
        <v>2956</v>
      </c>
      <c r="C714" s="156">
        <v>0.065</v>
      </c>
      <c r="D714" s="156">
        <v>0.09999999</v>
      </c>
      <c r="E714" s="156">
        <v>0.02</v>
      </c>
      <c r="F714" s="157"/>
      <c r="G714" s="157"/>
      <c r="H714" s="157"/>
      <c r="I714" s="157"/>
      <c r="J714" s="157"/>
      <c r="K714" s="54"/>
      <c r="L714" s="160" t="s">
        <v>2956</v>
      </c>
      <c r="M714" s="156" t="s">
        <v>2956</v>
      </c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</row>
    <row r="715">
      <c r="A715" s="156">
        <v>7.29010068065E12</v>
      </c>
      <c r="B715" s="156" t="s">
        <v>2542</v>
      </c>
      <c r="C715" s="156">
        <v>0.08</v>
      </c>
      <c r="D715" s="156">
        <v>0.09999999</v>
      </c>
      <c r="E715" s="156">
        <v>0.02</v>
      </c>
      <c r="F715" s="157"/>
      <c r="G715" s="157"/>
      <c r="H715" s="157"/>
      <c r="I715" s="157"/>
      <c r="J715" s="157"/>
      <c r="K715" s="54"/>
      <c r="L715" s="160" t="s">
        <v>2542</v>
      </c>
      <c r="M715" s="156" t="s">
        <v>2542</v>
      </c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</row>
    <row r="716">
      <c r="A716" s="156">
        <v>73750.0</v>
      </c>
      <c r="B716" s="156" t="s">
        <v>2515</v>
      </c>
      <c r="C716" s="156">
        <v>0.08</v>
      </c>
      <c r="D716" s="156">
        <v>0.09999999</v>
      </c>
      <c r="E716" s="156">
        <v>0.02</v>
      </c>
      <c r="F716" s="157"/>
      <c r="G716" s="157"/>
      <c r="H716" s="157"/>
      <c r="I716" s="157"/>
      <c r="J716" s="157"/>
      <c r="K716" s="54"/>
      <c r="L716" s="160" t="s">
        <v>2515</v>
      </c>
      <c r="M716" s="156" t="s">
        <v>2515</v>
      </c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</row>
    <row r="717">
      <c r="A717" s="156">
        <v>7.290112497291E12</v>
      </c>
      <c r="B717" s="156" t="s">
        <v>2950</v>
      </c>
      <c r="C717" s="156">
        <v>0.065</v>
      </c>
      <c r="D717" s="156">
        <v>0.09999999</v>
      </c>
      <c r="E717" s="156">
        <v>0.017</v>
      </c>
      <c r="F717" s="157"/>
      <c r="G717" s="157"/>
      <c r="H717" s="157"/>
      <c r="I717" s="157"/>
      <c r="J717" s="157"/>
      <c r="K717" s="54"/>
      <c r="L717" s="160" t="s">
        <v>2950</v>
      </c>
      <c r="M717" s="156" t="s">
        <v>2950</v>
      </c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</row>
    <row r="718">
      <c r="A718" s="156">
        <v>7.290112497284E12</v>
      </c>
      <c r="B718" s="156" t="s">
        <v>2943</v>
      </c>
      <c r="C718" s="156">
        <v>0.065</v>
      </c>
      <c r="D718" s="156">
        <v>0.09999999</v>
      </c>
      <c r="E718" s="156">
        <v>0.02</v>
      </c>
      <c r="F718" s="157"/>
      <c r="G718" s="157"/>
      <c r="H718" s="157"/>
      <c r="I718" s="157"/>
      <c r="J718" s="157"/>
      <c r="K718" s="54"/>
      <c r="L718" s="160" t="s">
        <v>2943</v>
      </c>
      <c r="M718" s="156" t="s">
        <v>2943</v>
      </c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</row>
    <row r="719">
      <c r="A719" s="156">
        <v>7.290112969965E12</v>
      </c>
      <c r="B719" s="156" t="s">
        <v>2548</v>
      </c>
      <c r="C719" s="156">
        <v>0.08</v>
      </c>
      <c r="D719" s="156">
        <v>0.09999999</v>
      </c>
      <c r="E719" s="156">
        <v>0.07</v>
      </c>
      <c r="F719" s="157"/>
      <c r="G719" s="157"/>
      <c r="H719" s="157"/>
      <c r="I719" s="157"/>
      <c r="J719" s="157"/>
      <c r="K719" s="54"/>
      <c r="L719" s="160" t="s">
        <v>2548</v>
      </c>
      <c r="M719" s="156" t="s">
        <v>2548</v>
      </c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</row>
    <row r="720">
      <c r="A720" s="156">
        <v>7.290112969538E12</v>
      </c>
      <c r="B720" s="156" t="s">
        <v>2536</v>
      </c>
      <c r="C720" s="156">
        <v>0.08</v>
      </c>
      <c r="D720" s="156">
        <v>0.09999999</v>
      </c>
      <c r="E720" s="156">
        <v>0.07</v>
      </c>
      <c r="F720" s="157"/>
      <c r="G720" s="157"/>
      <c r="H720" s="157"/>
      <c r="I720" s="157"/>
      <c r="J720" s="157"/>
      <c r="K720" s="54"/>
      <c r="L720" s="160" t="s">
        <v>2536</v>
      </c>
      <c r="M720" s="156" t="s">
        <v>2536</v>
      </c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</row>
    <row r="721">
      <c r="A721" s="156">
        <v>63133.0</v>
      </c>
      <c r="B721" s="156" t="s">
        <v>3264</v>
      </c>
      <c r="C721" s="156">
        <v>0.065</v>
      </c>
      <c r="D721" s="156">
        <v>0.16</v>
      </c>
      <c r="E721" s="156">
        <v>0.02</v>
      </c>
      <c r="F721" s="157"/>
      <c r="G721" s="157"/>
      <c r="H721" s="157"/>
      <c r="I721" s="157"/>
      <c r="J721" s="157"/>
      <c r="K721" s="54"/>
      <c r="L721" s="160" t="s">
        <v>3264</v>
      </c>
      <c r="M721" s="156" t="s">
        <v>3264</v>
      </c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</row>
    <row r="722">
      <c r="A722" s="152"/>
      <c r="B722" s="152"/>
      <c r="C722" s="152"/>
      <c r="D722" s="152"/>
      <c r="E722" s="152"/>
      <c r="F722" s="152"/>
      <c r="G722" s="152"/>
      <c r="H722" s="152"/>
      <c r="I722" s="152"/>
      <c r="J722" s="152"/>
      <c r="K722" s="152"/>
      <c r="L722" s="152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</row>
    <row r="723">
      <c r="A723" s="152"/>
      <c r="B723" s="152"/>
      <c r="C723" s="152"/>
      <c r="D723" s="152"/>
      <c r="E723" s="152"/>
      <c r="F723" s="152"/>
      <c r="G723" s="152"/>
      <c r="H723" s="152"/>
      <c r="I723" s="152"/>
      <c r="J723" s="152"/>
      <c r="K723" s="152"/>
      <c r="L723" s="152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</row>
    <row r="724">
      <c r="A724" s="152"/>
      <c r="B724" s="152"/>
      <c r="C724" s="152"/>
      <c r="D724" s="152"/>
      <c r="E724" s="152"/>
      <c r="F724" s="152"/>
      <c r="G724" s="152"/>
      <c r="H724" s="152"/>
      <c r="I724" s="152"/>
      <c r="J724" s="152"/>
      <c r="K724" s="152"/>
      <c r="L724" s="152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</row>
    <row r="725">
      <c r="A725" s="152"/>
      <c r="B725" s="152"/>
      <c r="C725" s="152"/>
      <c r="D725" s="152"/>
      <c r="E725" s="152"/>
      <c r="F725" s="152"/>
      <c r="G725" s="152"/>
      <c r="H725" s="152"/>
      <c r="I725" s="152"/>
      <c r="J725" s="152"/>
      <c r="K725" s="152"/>
      <c r="L725" s="152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</row>
    <row r="726">
      <c r="A726" s="152"/>
      <c r="B726" s="152"/>
      <c r="C726" s="152"/>
      <c r="D726" s="152"/>
      <c r="E726" s="152"/>
      <c r="F726" s="152"/>
      <c r="G726" s="152"/>
      <c r="H726" s="152"/>
      <c r="I726" s="152"/>
      <c r="J726" s="152"/>
      <c r="K726" s="152"/>
      <c r="L726" s="152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</row>
    <row r="727">
      <c r="A727" s="152"/>
      <c r="B727" s="152"/>
      <c r="C727" s="152"/>
      <c r="D727" s="152"/>
      <c r="E727" s="152"/>
      <c r="F727" s="152"/>
      <c r="G727" s="152"/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</row>
    <row r="728">
      <c r="A728" s="152"/>
      <c r="B728" s="152"/>
      <c r="C728" s="152"/>
      <c r="D728" s="152"/>
      <c r="E728" s="152"/>
      <c r="F728" s="152"/>
      <c r="G728" s="152"/>
      <c r="H728" s="152"/>
      <c r="I728" s="152"/>
      <c r="J728" s="152"/>
      <c r="K728" s="152"/>
      <c r="L728" s="152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</row>
    <row r="729">
      <c r="A729" s="152"/>
      <c r="B729" s="152"/>
      <c r="C729" s="152"/>
      <c r="D729" s="152"/>
      <c r="E729" s="152"/>
      <c r="F729" s="152"/>
      <c r="G729" s="152"/>
      <c r="H729" s="152"/>
      <c r="I729" s="152"/>
      <c r="J729" s="152"/>
      <c r="K729" s="152"/>
      <c r="L729" s="152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</row>
    <row r="730">
      <c r="A730" s="152"/>
      <c r="B730" s="152"/>
      <c r="C730" s="152"/>
      <c r="D730" s="152"/>
      <c r="E730" s="152"/>
      <c r="F730" s="152"/>
      <c r="G730" s="152"/>
      <c r="H730" s="152"/>
      <c r="I730" s="152"/>
      <c r="J730" s="152"/>
      <c r="K730" s="152"/>
      <c r="L730" s="152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</row>
    <row r="731">
      <c r="A731" s="152"/>
      <c r="B731" s="152"/>
      <c r="C731" s="152"/>
      <c r="D731" s="152"/>
      <c r="E731" s="152"/>
      <c r="F731" s="152"/>
      <c r="G731" s="152"/>
      <c r="H731" s="152"/>
      <c r="I731" s="152"/>
      <c r="J731" s="152"/>
      <c r="K731" s="152"/>
      <c r="L731" s="152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</row>
    <row r="732">
      <c r="A732" s="152"/>
      <c r="B732" s="152"/>
      <c r="C732" s="152"/>
      <c r="D732" s="152"/>
      <c r="E732" s="152"/>
      <c r="F732" s="152"/>
      <c r="G732" s="152"/>
      <c r="H732" s="152"/>
      <c r="I732" s="152"/>
      <c r="J732" s="152"/>
      <c r="K732" s="152"/>
      <c r="L732" s="152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</row>
    <row r="733">
      <c r="A733" s="152"/>
      <c r="B733" s="152"/>
      <c r="C733" s="152"/>
      <c r="D733" s="152"/>
      <c r="E733" s="152"/>
      <c r="F733" s="152"/>
      <c r="G733" s="152"/>
      <c r="H733" s="152"/>
      <c r="I733" s="152"/>
      <c r="J733" s="152"/>
      <c r="K733" s="152"/>
      <c r="L733" s="152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</row>
    <row r="734">
      <c r="A734" s="152"/>
      <c r="B734" s="152"/>
      <c r="C734" s="152"/>
      <c r="D734" s="152"/>
      <c r="E734" s="152"/>
      <c r="F734" s="152"/>
      <c r="G734" s="152"/>
      <c r="H734" s="152"/>
      <c r="I734" s="152"/>
      <c r="J734" s="152"/>
      <c r="K734" s="152"/>
      <c r="L734" s="152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</row>
    <row r="735">
      <c r="A735" s="152"/>
      <c r="B735" s="152"/>
      <c r="C735" s="152"/>
      <c r="D735" s="152"/>
      <c r="E735" s="152"/>
      <c r="F735" s="152"/>
      <c r="G735" s="152"/>
      <c r="H735" s="152"/>
      <c r="I735" s="152"/>
      <c r="J735" s="152"/>
      <c r="K735" s="152"/>
      <c r="L735" s="152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</row>
    <row r="736">
      <c r="A736" s="152"/>
      <c r="B736" s="152"/>
      <c r="C736" s="152"/>
      <c r="D736" s="152"/>
      <c r="E736" s="152"/>
      <c r="F736" s="152"/>
      <c r="G736" s="152"/>
      <c r="H736" s="152"/>
      <c r="I736" s="152"/>
      <c r="J736" s="152"/>
      <c r="K736" s="152"/>
      <c r="L736" s="152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</row>
    <row r="737">
      <c r="A737" s="152"/>
      <c r="B737" s="152"/>
      <c r="C737" s="152"/>
      <c r="D737" s="152"/>
      <c r="E737" s="152"/>
      <c r="F737" s="152"/>
      <c r="G737" s="152"/>
      <c r="H737" s="152"/>
      <c r="I737" s="152"/>
      <c r="J737" s="152"/>
      <c r="K737" s="152"/>
      <c r="L737" s="152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</row>
    <row r="738">
      <c r="A738" s="152"/>
      <c r="B738" s="152"/>
      <c r="C738" s="152"/>
      <c r="D738" s="152"/>
      <c r="E738" s="152"/>
      <c r="F738" s="152"/>
      <c r="G738" s="152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</row>
    <row r="739">
      <c r="A739" s="152"/>
      <c r="B739" s="152"/>
      <c r="C739" s="152"/>
      <c r="D739" s="152"/>
      <c r="E739" s="152"/>
      <c r="F739" s="152"/>
      <c r="G739" s="152"/>
      <c r="H739" s="152"/>
      <c r="I739" s="152"/>
      <c r="J739" s="152"/>
      <c r="K739" s="152"/>
      <c r="L739" s="152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</row>
    <row r="740">
      <c r="A740" s="152"/>
      <c r="B740" s="152"/>
      <c r="C740" s="152"/>
      <c r="D740" s="152"/>
      <c r="E740" s="152"/>
      <c r="F740" s="152"/>
      <c r="G740" s="152"/>
      <c r="H740" s="152"/>
      <c r="I740" s="152"/>
      <c r="J740" s="152"/>
      <c r="K740" s="152"/>
      <c r="L740" s="152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</row>
    <row r="741">
      <c r="A741" s="152"/>
      <c r="B741" s="152"/>
      <c r="C741" s="152"/>
      <c r="D741" s="152"/>
      <c r="E741" s="152"/>
      <c r="F741" s="152"/>
      <c r="G741" s="152"/>
      <c r="H741" s="152"/>
      <c r="I741" s="152"/>
      <c r="J741" s="152"/>
      <c r="K741" s="152"/>
      <c r="L741" s="152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</row>
    <row r="742">
      <c r="A742" s="152"/>
      <c r="B742" s="152"/>
      <c r="C742" s="152"/>
      <c r="D742" s="152"/>
      <c r="E742" s="152"/>
      <c r="F742" s="152"/>
      <c r="G742" s="152"/>
      <c r="H742" s="152"/>
      <c r="I742" s="152"/>
      <c r="J742" s="152"/>
      <c r="K742" s="152"/>
      <c r="L742" s="152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52"/>
      <c r="Y742" s="152"/>
      <c r="Z742" s="152"/>
    </row>
    <row r="743">
      <c r="A743" s="152"/>
      <c r="B743" s="152"/>
      <c r="C743" s="152"/>
      <c r="D743" s="152"/>
      <c r="E743" s="152"/>
      <c r="F743" s="152"/>
      <c r="G743" s="152"/>
      <c r="H743" s="152"/>
      <c r="I743" s="152"/>
      <c r="J743" s="152"/>
      <c r="K743" s="152"/>
      <c r="L743" s="152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</row>
    <row r="744">
      <c r="A744" s="152"/>
      <c r="B744" s="152"/>
      <c r="C744" s="152"/>
      <c r="D744" s="152"/>
      <c r="E744" s="152"/>
      <c r="F744" s="152"/>
      <c r="G744" s="152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</row>
    <row r="745">
      <c r="A745" s="152"/>
      <c r="B745" s="152"/>
      <c r="C745" s="152"/>
      <c r="D745" s="152"/>
      <c r="E745" s="152"/>
      <c r="F745" s="152"/>
      <c r="G745" s="152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</row>
    <row r="746">
      <c r="A746" s="152"/>
      <c r="B746" s="152"/>
      <c r="C746" s="152"/>
      <c r="D746" s="152"/>
      <c r="E746" s="152"/>
      <c r="F746" s="152"/>
      <c r="G746" s="152"/>
      <c r="H746" s="152"/>
      <c r="I746" s="152"/>
      <c r="J746" s="152"/>
      <c r="K746" s="152"/>
      <c r="L746" s="152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</row>
    <row r="747">
      <c r="A747" s="152"/>
      <c r="B747" s="152"/>
      <c r="C747" s="152"/>
      <c r="D747" s="152"/>
      <c r="E747" s="152"/>
      <c r="F747" s="152"/>
      <c r="G747" s="152"/>
      <c r="H747" s="152"/>
      <c r="I747" s="152"/>
      <c r="J747" s="152"/>
      <c r="K747" s="152"/>
      <c r="L747" s="152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</row>
    <row r="748">
      <c r="A748" s="152"/>
      <c r="B748" s="152"/>
      <c r="C748" s="152"/>
      <c r="D748" s="152"/>
      <c r="E748" s="152"/>
      <c r="F748" s="152"/>
      <c r="G748" s="152"/>
      <c r="H748" s="152"/>
      <c r="I748" s="152"/>
      <c r="J748" s="152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</row>
    <row r="749">
      <c r="A749" s="152"/>
      <c r="B749" s="152"/>
      <c r="C749" s="152"/>
      <c r="D749" s="152"/>
      <c r="E749" s="152"/>
      <c r="F749" s="152"/>
      <c r="G749" s="152"/>
      <c r="H749" s="152"/>
      <c r="I749" s="152"/>
      <c r="J749" s="152"/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</row>
    <row r="750">
      <c r="A750" s="152"/>
      <c r="B750" s="152"/>
      <c r="C750" s="152"/>
      <c r="D750" s="152"/>
      <c r="E750" s="152"/>
      <c r="F750" s="152"/>
      <c r="G750" s="152"/>
      <c r="H750" s="152"/>
      <c r="I750" s="152"/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</row>
    <row r="751">
      <c r="A751" s="152"/>
      <c r="B751" s="152"/>
      <c r="C751" s="152"/>
      <c r="D751" s="152"/>
      <c r="E751" s="152"/>
      <c r="F751" s="152"/>
      <c r="G751" s="152"/>
      <c r="H751" s="152"/>
      <c r="I751" s="152"/>
      <c r="J751" s="152"/>
      <c r="K751" s="152"/>
      <c r="L751" s="152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</row>
    <row r="752">
      <c r="A752" s="152"/>
      <c r="B752" s="152"/>
      <c r="C752" s="152"/>
      <c r="D752" s="152"/>
      <c r="E752" s="152"/>
      <c r="F752" s="152"/>
      <c r="G752" s="152"/>
      <c r="H752" s="152"/>
      <c r="I752" s="152"/>
      <c r="J752" s="152"/>
      <c r="K752" s="152"/>
      <c r="L752" s="152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</row>
    <row r="753">
      <c r="A753" s="152"/>
      <c r="B753" s="152"/>
      <c r="C753" s="152"/>
      <c r="D753" s="152"/>
      <c r="E753" s="152"/>
      <c r="F753" s="152"/>
      <c r="G753" s="152"/>
      <c r="H753" s="152"/>
      <c r="I753" s="152"/>
      <c r="J753" s="152"/>
      <c r="K753" s="152"/>
      <c r="L753" s="152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</row>
    <row r="754">
      <c r="A754" s="152"/>
      <c r="B754" s="152"/>
      <c r="C754" s="152"/>
      <c r="D754" s="152"/>
      <c r="E754" s="152"/>
      <c r="F754" s="152"/>
      <c r="G754" s="152"/>
      <c r="H754" s="152"/>
      <c r="I754" s="152"/>
      <c r="J754" s="152"/>
      <c r="K754" s="152"/>
      <c r="L754" s="152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</row>
    <row r="755">
      <c r="A755" s="152"/>
      <c r="B755" s="152"/>
      <c r="C755" s="152"/>
      <c r="D755" s="152"/>
      <c r="E755" s="152"/>
      <c r="F755" s="152"/>
      <c r="G755" s="152"/>
      <c r="H755" s="152"/>
      <c r="I755" s="152"/>
      <c r="J755" s="152"/>
      <c r="K755" s="152"/>
      <c r="L755" s="152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</row>
    <row r="756">
      <c r="A756" s="152"/>
      <c r="B756" s="152"/>
      <c r="C756" s="152"/>
      <c r="D756" s="152"/>
      <c r="E756" s="152"/>
      <c r="F756" s="152"/>
      <c r="G756" s="152"/>
      <c r="H756" s="152"/>
      <c r="I756" s="152"/>
      <c r="J756" s="152"/>
      <c r="K756" s="152"/>
      <c r="L756" s="152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</row>
    <row r="757">
      <c r="A757" s="152"/>
      <c r="B757" s="152"/>
      <c r="C757" s="152"/>
      <c r="D757" s="152"/>
      <c r="E757" s="152"/>
      <c r="F757" s="152"/>
      <c r="G757" s="152"/>
      <c r="H757" s="152"/>
      <c r="I757" s="152"/>
      <c r="J757" s="152"/>
      <c r="K757" s="152"/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</row>
    <row r="758">
      <c r="A758" s="152"/>
      <c r="B758" s="152"/>
      <c r="C758" s="152"/>
      <c r="D758" s="152"/>
      <c r="E758" s="152"/>
      <c r="F758" s="152"/>
      <c r="G758" s="152"/>
      <c r="H758" s="152"/>
      <c r="I758" s="152"/>
      <c r="J758" s="152"/>
      <c r="K758" s="152"/>
      <c r="L758" s="152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</row>
    <row r="759">
      <c r="A759" s="152"/>
      <c r="B759" s="152"/>
      <c r="C759" s="152"/>
      <c r="D759" s="152"/>
      <c r="E759" s="152"/>
      <c r="F759" s="152"/>
      <c r="G759" s="152"/>
      <c r="H759" s="152"/>
      <c r="I759" s="152"/>
      <c r="J759" s="152"/>
      <c r="K759" s="152"/>
      <c r="L759" s="152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</row>
    <row r="760">
      <c r="A760" s="152"/>
      <c r="B760" s="152"/>
      <c r="C760" s="152"/>
      <c r="D760" s="152"/>
      <c r="E760" s="152"/>
      <c r="F760" s="152"/>
      <c r="G760" s="152"/>
      <c r="H760" s="152"/>
      <c r="I760" s="152"/>
      <c r="J760" s="152"/>
      <c r="K760" s="152"/>
      <c r="L760" s="152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</row>
    <row r="761">
      <c r="A761" s="152"/>
      <c r="B761" s="152"/>
      <c r="C761" s="152"/>
      <c r="D761" s="152"/>
      <c r="E761" s="152"/>
      <c r="F761" s="152"/>
      <c r="G761" s="152"/>
      <c r="H761" s="152"/>
      <c r="I761" s="152"/>
      <c r="J761" s="15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</row>
    <row r="762">
      <c r="A762" s="152"/>
      <c r="B762" s="152"/>
      <c r="C762" s="152"/>
      <c r="D762" s="152"/>
      <c r="E762" s="152"/>
      <c r="F762" s="152"/>
      <c r="G762" s="152"/>
      <c r="H762" s="152"/>
      <c r="I762" s="152"/>
      <c r="J762" s="152"/>
      <c r="K762" s="152"/>
      <c r="L762" s="152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</row>
    <row r="763">
      <c r="A763" s="152"/>
      <c r="B763" s="152"/>
      <c r="C763" s="152"/>
      <c r="D763" s="152"/>
      <c r="E763" s="152"/>
      <c r="F763" s="152"/>
      <c r="G763" s="152"/>
      <c r="H763" s="152"/>
      <c r="I763" s="152"/>
      <c r="J763" s="152"/>
      <c r="K763" s="152"/>
      <c r="L763" s="152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</row>
    <row r="764">
      <c r="A764" s="152"/>
      <c r="B764" s="152"/>
      <c r="C764" s="152"/>
      <c r="D764" s="152"/>
      <c r="E764" s="152"/>
      <c r="F764" s="152"/>
      <c r="G764" s="152"/>
      <c r="H764" s="152"/>
      <c r="I764" s="152"/>
      <c r="J764" s="152"/>
      <c r="K764" s="152"/>
      <c r="L764" s="152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</row>
    <row r="765">
      <c r="A765" s="152"/>
      <c r="B765" s="152"/>
      <c r="C765" s="152"/>
      <c r="D765" s="152"/>
      <c r="E765" s="152"/>
      <c r="F765" s="152"/>
      <c r="G765" s="152"/>
      <c r="H765" s="152"/>
      <c r="I765" s="152"/>
      <c r="J765" s="152"/>
      <c r="K765" s="152"/>
      <c r="L765" s="152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</row>
    <row r="766">
      <c r="A766" s="152"/>
      <c r="B766" s="152"/>
      <c r="C766" s="152"/>
      <c r="D766" s="152"/>
      <c r="E766" s="152"/>
      <c r="F766" s="152"/>
      <c r="G766" s="152"/>
      <c r="H766" s="152"/>
      <c r="I766" s="152"/>
      <c r="J766" s="152"/>
      <c r="K766" s="152"/>
      <c r="L766" s="152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</row>
    <row r="767">
      <c r="A767" s="152"/>
      <c r="B767" s="152"/>
      <c r="C767" s="152"/>
      <c r="D767" s="152"/>
      <c r="E767" s="152"/>
      <c r="F767" s="152"/>
      <c r="G767" s="152"/>
      <c r="H767" s="152"/>
      <c r="I767" s="152"/>
      <c r="J767" s="152"/>
      <c r="K767" s="152"/>
      <c r="L767" s="152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</row>
    <row r="768">
      <c r="A768" s="152"/>
      <c r="B768" s="152"/>
      <c r="C768" s="152"/>
      <c r="D768" s="152"/>
      <c r="E768" s="152"/>
      <c r="F768" s="152"/>
      <c r="G768" s="152"/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</row>
    <row r="769">
      <c r="A769" s="152"/>
      <c r="B769" s="152"/>
      <c r="C769" s="152"/>
      <c r="D769" s="152"/>
      <c r="E769" s="152"/>
      <c r="F769" s="152"/>
      <c r="G769" s="152"/>
      <c r="H769" s="152"/>
      <c r="I769" s="152"/>
      <c r="J769" s="152"/>
      <c r="K769" s="152"/>
      <c r="L769" s="152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</row>
    <row r="770">
      <c r="A770" s="152"/>
      <c r="B770" s="152"/>
      <c r="C770" s="152"/>
      <c r="D770" s="152"/>
      <c r="E770" s="152"/>
      <c r="F770" s="152"/>
      <c r="G770" s="152"/>
      <c r="H770" s="152"/>
      <c r="I770" s="152"/>
      <c r="J770" s="152"/>
      <c r="K770" s="152"/>
      <c r="L770" s="152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</row>
    <row r="771">
      <c r="A771" s="152"/>
      <c r="B771" s="152"/>
      <c r="C771" s="152"/>
      <c r="D771" s="152"/>
      <c r="E771" s="152"/>
      <c r="F771" s="152"/>
      <c r="G771" s="152"/>
      <c r="H771" s="152"/>
      <c r="I771" s="152"/>
      <c r="J771" s="152"/>
      <c r="K771" s="152"/>
      <c r="L771" s="152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</row>
    <row r="772">
      <c r="A772" s="152"/>
      <c r="B772" s="152"/>
      <c r="C772" s="152"/>
      <c r="D772" s="152"/>
      <c r="E772" s="152"/>
      <c r="F772" s="152"/>
      <c r="G772" s="152"/>
      <c r="H772" s="152"/>
      <c r="I772" s="152"/>
      <c r="J772" s="152"/>
      <c r="K772" s="152"/>
      <c r="L772" s="152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</row>
    <row r="773">
      <c r="A773" s="152"/>
      <c r="B773" s="152"/>
      <c r="C773" s="152"/>
      <c r="D773" s="152"/>
      <c r="E773" s="152"/>
      <c r="F773" s="152"/>
      <c r="G773" s="152"/>
      <c r="H773" s="152"/>
      <c r="I773" s="152"/>
      <c r="J773" s="152"/>
      <c r="K773" s="152"/>
      <c r="L773" s="152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</row>
    <row r="774">
      <c r="A774" s="152"/>
      <c r="B774" s="152"/>
      <c r="C774" s="152"/>
      <c r="D774" s="152"/>
      <c r="E774" s="152"/>
      <c r="F774" s="152"/>
      <c r="G774" s="152"/>
      <c r="H774" s="152"/>
      <c r="I774" s="152"/>
      <c r="J774" s="152"/>
      <c r="K774" s="152"/>
      <c r="L774" s="152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</row>
    <row r="775">
      <c r="A775" s="152"/>
      <c r="B775" s="152"/>
      <c r="C775" s="152"/>
      <c r="D775" s="152"/>
      <c r="E775" s="152"/>
      <c r="F775" s="152"/>
      <c r="G775" s="152"/>
      <c r="H775" s="152"/>
      <c r="I775" s="152"/>
      <c r="J775" s="152"/>
      <c r="K775" s="152"/>
      <c r="L775" s="152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</row>
    <row r="776">
      <c r="A776" s="152"/>
      <c r="B776" s="152"/>
      <c r="C776" s="152"/>
      <c r="D776" s="152"/>
      <c r="E776" s="152"/>
      <c r="F776" s="152"/>
      <c r="G776" s="152"/>
      <c r="H776" s="152"/>
      <c r="I776" s="152"/>
      <c r="J776" s="152"/>
      <c r="K776" s="152"/>
      <c r="L776" s="152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</row>
    <row r="777">
      <c r="A777" s="152"/>
      <c r="B777" s="152"/>
      <c r="C777" s="152"/>
      <c r="D777" s="152"/>
      <c r="E777" s="152"/>
      <c r="F777" s="152"/>
      <c r="G777" s="152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</row>
    <row r="778">
      <c r="A778" s="152"/>
      <c r="B778" s="152"/>
      <c r="C778" s="152"/>
      <c r="D778" s="152"/>
      <c r="E778" s="152"/>
      <c r="F778" s="152"/>
      <c r="G778" s="152"/>
      <c r="H778" s="152"/>
      <c r="I778" s="152"/>
      <c r="J778" s="152"/>
      <c r="K778" s="152"/>
      <c r="L778" s="152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</row>
    <row r="779">
      <c r="A779" s="152"/>
      <c r="B779" s="152"/>
      <c r="C779" s="152"/>
      <c r="D779" s="152"/>
      <c r="E779" s="152"/>
      <c r="F779" s="152"/>
      <c r="G779" s="152"/>
      <c r="H779" s="152"/>
      <c r="I779" s="152"/>
      <c r="J779" s="152"/>
      <c r="K779" s="152"/>
      <c r="L779" s="152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</row>
    <row r="780">
      <c r="A780" s="152"/>
      <c r="B780" s="152"/>
      <c r="C780" s="152"/>
      <c r="D780" s="152"/>
      <c r="E780" s="152"/>
      <c r="F780" s="152"/>
      <c r="G780" s="152"/>
      <c r="H780" s="152"/>
      <c r="I780" s="152"/>
      <c r="J780" s="152"/>
      <c r="K780" s="152"/>
      <c r="L780" s="152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</row>
    <row r="781">
      <c r="A781" s="152"/>
      <c r="B781" s="152"/>
      <c r="C781" s="152"/>
      <c r="D781" s="152"/>
      <c r="E781" s="152"/>
      <c r="F781" s="152"/>
      <c r="G781" s="152"/>
      <c r="H781" s="152"/>
      <c r="I781" s="152"/>
      <c r="J781" s="152"/>
      <c r="K781" s="152"/>
      <c r="L781" s="152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</row>
    <row r="782">
      <c r="A782" s="152"/>
      <c r="B782" s="152"/>
      <c r="C782" s="152"/>
      <c r="D782" s="152"/>
      <c r="E782" s="152"/>
      <c r="F782" s="152"/>
      <c r="G782" s="152"/>
      <c r="H782" s="152"/>
      <c r="I782" s="152"/>
      <c r="J782" s="152"/>
      <c r="K782" s="152"/>
      <c r="L782" s="152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</row>
    <row r="783">
      <c r="A783" s="152"/>
      <c r="B783" s="152"/>
      <c r="C783" s="152"/>
      <c r="D783" s="152"/>
      <c r="E783" s="152"/>
      <c r="F783" s="152"/>
      <c r="G783" s="152"/>
      <c r="H783" s="152"/>
      <c r="I783" s="152"/>
      <c r="J783" s="152"/>
      <c r="K783" s="152"/>
      <c r="L783" s="152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</row>
    <row r="784">
      <c r="A784" s="152"/>
      <c r="B784" s="152"/>
      <c r="C784" s="152"/>
      <c r="D784" s="152"/>
      <c r="E784" s="152"/>
      <c r="F784" s="152"/>
      <c r="G784" s="152"/>
      <c r="H784" s="152"/>
      <c r="I784" s="152"/>
      <c r="J784" s="152"/>
      <c r="K784" s="152"/>
      <c r="L784" s="152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</row>
    <row r="785">
      <c r="A785" s="152"/>
      <c r="B785" s="152"/>
      <c r="C785" s="152"/>
      <c r="D785" s="152"/>
      <c r="E785" s="152"/>
      <c r="F785" s="152"/>
      <c r="G785" s="152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</row>
    <row r="786">
      <c r="A786" s="152"/>
      <c r="B786" s="152"/>
      <c r="C786" s="152"/>
      <c r="D786" s="152"/>
      <c r="E786" s="152"/>
      <c r="F786" s="152"/>
      <c r="G786" s="152"/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</row>
    <row r="787">
      <c r="A787" s="152"/>
      <c r="B787" s="152"/>
      <c r="C787" s="152"/>
      <c r="D787" s="152"/>
      <c r="E787" s="152"/>
      <c r="F787" s="152"/>
      <c r="G787" s="152"/>
      <c r="H787" s="152"/>
      <c r="I787" s="152"/>
      <c r="J787" s="152"/>
      <c r="K787" s="152"/>
      <c r="L787" s="152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</row>
    <row r="788">
      <c r="A788" s="152"/>
      <c r="B788" s="152"/>
      <c r="C788" s="152"/>
      <c r="D788" s="152"/>
      <c r="E788" s="152"/>
      <c r="F788" s="152"/>
      <c r="G788" s="152"/>
      <c r="H788" s="152"/>
      <c r="I788" s="152"/>
      <c r="J788" s="152"/>
      <c r="K788" s="152"/>
      <c r="L788" s="152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</row>
    <row r="789">
      <c r="A789" s="152"/>
      <c r="B789" s="152"/>
      <c r="C789" s="152"/>
      <c r="D789" s="152"/>
      <c r="E789" s="152"/>
      <c r="F789" s="152"/>
      <c r="G789" s="152"/>
      <c r="H789" s="152"/>
      <c r="I789" s="152"/>
      <c r="J789" s="152"/>
      <c r="K789" s="152"/>
      <c r="L789" s="152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</row>
    <row r="790">
      <c r="A790" s="152"/>
      <c r="B790" s="152"/>
      <c r="C790" s="152"/>
      <c r="D790" s="152"/>
      <c r="E790" s="152"/>
      <c r="F790" s="152"/>
      <c r="G790" s="152"/>
      <c r="H790" s="152"/>
      <c r="I790" s="152"/>
      <c r="J790" s="152"/>
      <c r="K790" s="152"/>
      <c r="L790" s="152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</row>
    <row r="791">
      <c r="A791" s="152"/>
      <c r="B791" s="152"/>
      <c r="C791" s="152"/>
      <c r="D791" s="152"/>
      <c r="E791" s="152"/>
      <c r="F791" s="152"/>
      <c r="G791" s="152"/>
      <c r="H791" s="152"/>
      <c r="I791" s="152"/>
      <c r="J791" s="152"/>
      <c r="K791" s="152"/>
      <c r="L791" s="152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</row>
    <row r="792">
      <c r="A792" s="152"/>
      <c r="B792" s="152"/>
      <c r="C792" s="152"/>
      <c r="D792" s="152"/>
      <c r="E792" s="152"/>
      <c r="F792" s="152"/>
      <c r="G792" s="152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</row>
    <row r="793">
      <c r="A793" s="152"/>
      <c r="B793" s="152"/>
      <c r="C793" s="152"/>
      <c r="D793" s="152"/>
      <c r="E793" s="152"/>
      <c r="F793" s="152"/>
      <c r="G793" s="152"/>
      <c r="H793" s="152"/>
      <c r="I793" s="152"/>
      <c r="J793" s="152"/>
      <c r="K793" s="152"/>
      <c r="L793" s="152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</row>
    <row r="794">
      <c r="A794" s="152"/>
      <c r="B794" s="152"/>
      <c r="C794" s="152"/>
      <c r="D794" s="152"/>
      <c r="E794" s="152"/>
      <c r="F794" s="152"/>
      <c r="G794" s="152"/>
      <c r="H794" s="152"/>
      <c r="I794" s="152"/>
      <c r="J794" s="152"/>
      <c r="K794" s="152"/>
      <c r="L794" s="152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</row>
    <row r="795">
      <c r="A795" s="152"/>
      <c r="B795" s="152"/>
      <c r="C795" s="152"/>
      <c r="D795" s="152"/>
      <c r="E795" s="152"/>
      <c r="F795" s="152"/>
      <c r="G795" s="152"/>
      <c r="H795" s="152"/>
      <c r="I795" s="152"/>
      <c r="J795" s="152"/>
      <c r="K795" s="152"/>
      <c r="L795" s="152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</row>
    <row r="796">
      <c r="A796" s="152"/>
      <c r="B796" s="152"/>
      <c r="C796" s="152"/>
      <c r="D796" s="152"/>
      <c r="E796" s="152"/>
      <c r="F796" s="152"/>
      <c r="G796" s="152"/>
      <c r="H796" s="152"/>
      <c r="I796" s="152"/>
      <c r="J796" s="152"/>
      <c r="K796" s="152"/>
      <c r="L796" s="152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</row>
    <row r="797">
      <c r="A797" s="152"/>
      <c r="B797" s="152"/>
      <c r="C797" s="152"/>
      <c r="D797" s="152"/>
      <c r="E797" s="152"/>
      <c r="F797" s="152"/>
      <c r="G797" s="152"/>
      <c r="H797" s="152"/>
      <c r="I797" s="152"/>
      <c r="J797" s="152"/>
      <c r="K797" s="152"/>
      <c r="L797" s="152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</row>
    <row r="798">
      <c r="A798" s="152"/>
      <c r="B798" s="152"/>
      <c r="C798" s="152"/>
      <c r="D798" s="152"/>
      <c r="E798" s="152"/>
      <c r="F798" s="152"/>
      <c r="G798" s="152"/>
      <c r="H798" s="152"/>
      <c r="I798" s="152"/>
      <c r="J798" s="152"/>
      <c r="K798" s="152"/>
      <c r="L798" s="152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</row>
    <row r="799">
      <c r="A799" s="152"/>
      <c r="B799" s="152"/>
      <c r="C799" s="152"/>
      <c r="D799" s="152"/>
      <c r="E799" s="152"/>
      <c r="F799" s="152"/>
      <c r="G799" s="152"/>
      <c r="H799" s="152"/>
      <c r="I799" s="152"/>
      <c r="J799" s="152"/>
      <c r="K799" s="152"/>
      <c r="L799" s="152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</row>
    <row r="800">
      <c r="A800" s="152"/>
      <c r="B800" s="152"/>
      <c r="C800" s="152"/>
      <c r="D800" s="152"/>
      <c r="E800" s="152"/>
      <c r="F800" s="152"/>
      <c r="G800" s="152"/>
      <c r="H800" s="152"/>
      <c r="I800" s="152"/>
      <c r="J800" s="152"/>
      <c r="K800" s="152"/>
      <c r="L800" s="152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</row>
    <row r="801">
      <c r="A801" s="152"/>
      <c r="B801" s="152"/>
      <c r="C801" s="152"/>
      <c r="D801" s="152"/>
      <c r="E801" s="152"/>
      <c r="F801" s="152"/>
      <c r="G801" s="152"/>
      <c r="H801" s="152"/>
      <c r="I801" s="152"/>
      <c r="J801" s="152"/>
      <c r="K801" s="152"/>
      <c r="L801" s="152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</row>
    <row r="802">
      <c r="A802" s="152"/>
      <c r="B802" s="152"/>
      <c r="C802" s="152"/>
      <c r="D802" s="152"/>
      <c r="E802" s="152"/>
      <c r="F802" s="152"/>
      <c r="G802" s="152"/>
      <c r="H802" s="152"/>
      <c r="I802" s="152"/>
      <c r="J802" s="152"/>
      <c r="K802" s="152"/>
      <c r="L802" s="152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</row>
    <row r="803">
      <c r="A803" s="152"/>
      <c r="B803" s="152"/>
      <c r="C803" s="152"/>
      <c r="D803" s="152"/>
      <c r="E803" s="152"/>
      <c r="F803" s="152"/>
      <c r="G803" s="152"/>
      <c r="H803" s="152"/>
      <c r="I803" s="152"/>
      <c r="J803" s="152"/>
      <c r="K803" s="152"/>
      <c r="L803" s="152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</row>
    <row r="804">
      <c r="A804" s="152"/>
      <c r="B804" s="152"/>
      <c r="C804" s="152"/>
      <c r="D804" s="152"/>
      <c r="E804" s="152"/>
      <c r="F804" s="152"/>
      <c r="G804" s="152"/>
      <c r="H804" s="152"/>
      <c r="I804" s="152"/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</row>
    <row r="805">
      <c r="A805" s="152"/>
      <c r="B805" s="152"/>
      <c r="C805" s="152"/>
      <c r="D805" s="152"/>
      <c r="E805" s="152"/>
      <c r="F805" s="152"/>
      <c r="G805" s="152"/>
      <c r="H805" s="152"/>
      <c r="I805" s="152"/>
      <c r="J805" s="152"/>
      <c r="K805" s="152"/>
      <c r="L805" s="152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</row>
    <row r="806">
      <c r="A806" s="152"/>
      <c r="B806" s="152"/>
      <c r="C806" s="152"/>
      <c r="D806" s="152"/>
      <c r="E806" s="152"/>
      <c r="F806" s="152"/>
      <c r="G806" s="152"/>
      <c r="H806" s="152"/>
      <c r="I806" s="152"/>
      <c r="J806" s="152"/>
      <c r="K806" s="152"/>
      <c r="L806" s="152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</row>
    <row r="807">
      <c r="A807" s="152"/>
      <c r="B807" s="152"/>
      <c r="C807" s="152"/>
      <c r="D807" s="152"/>
      <c r="E807" s="152"/>
      <c r="F807" s="152"/>
      <c r="G807" s="152"/>
      <c r="H807" s="152"/>
      <c r="I807" s="152"/>
      <c r="J807" s="152"/>
      <c r="K807" s="152"/>
      <c r="L807" s="152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</row>
    <row r="808">
      <c r="A808" s="152"/>
      <c r="B808" s="152"/>
      <c r="C808" s="152"/>
      <c r="D808" s="152"/>
      <c r="E808" s="152"/>
      <c r="F808" s="152"/>
      <c r="G808" s="152"/>
      <c r="H808" s="15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</row>
    <row r="809">
      <c r="A809" s="152"/>
      <c r="B809" s="152"/>
      <c r="C809" s="152"/>
      <c r="D809" s="152"/>
      <c r="E809" s="152"/>
      <c r="F809" s="152"/>
      <c r="G809" s="152"/>
      <c r="H809" s="152"/>
      <c r="I809" s="152"/>
      <c r="J809" s="152"/>
      <c r="K809" s="152"/>
      <c r="L809" s="152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</row>
    <row r="810">
      <c r="A810" s="152"/>
      <c r="B810" s="152"/>
      <c r="C810" s="152"/>
      <c r="D810" s="152"/>
      <c r="E810" s="152"/>
      <c r="F810" s="152"/>
      <c r="G810" s="152"/>
      <c r="H810" s="152"/>
      <c r="I810" s="152"/>
      <c r="J810" s="152"/>
      <c r="K810" s="152"/>
      <c r="L810" s="152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</row>
    <row r="811">
      <c r="A811" s="152"/>
      <c r="B811" s="152"/>
      <c r="C811" s="152"/>
      <c r="D811" s="152"/>
      <c r="E811" s="152"/>
      <c r="F811" s="152"/>
      <c r="G811" s="152"/>
      <c r="H811" s="152"/>
      <c r="I811" s="152"/>
      <c r="J811" s="152"/>
      <c r="K811" s="152"/>
      <c r="L811" s="152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</row>
    <row r="812">
      <c r="A812" s="152"/>
      <c r="B812" s="152"/>
      <c r="C812" s="152"/>
      <c r="D812" s="152"/>
      <c r="E812" s="152"/>
      <c r="F812" s="152"/>
      <c r="G812" s="152"/>
      <c r="H812" s="152"/>
      <c r="I812" s="152"/>
      <c r="J812" s="152"/>
      <c r="K812" s="152"/>
      <c r="L812" s="152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52"/>
      <c r="Y812" s="152"/>
      <c r="Z812" s="152"/>
    </row>
    <row r="813">
      <c r="A813" s="152"/>
      <c r="B813" s="152"/>
      <c r="C813" s="152"/>
      <c r="D813" s="152"/>
      <c r="E813" s="152"/>
      <c r="F813" s="152"/>
      <c r="G813" s="152"/>
      <c r="H813" s="152"/>
      <c r="I813" s="152"/>
      <c r="J813" s="152"/>
      <c r="K813" s="152"/>
      <c r="L813" s="152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52"/>
      <c r="Y813" s="152"/>
      <c r="Z813" s="152"/>
    </row>
    <row r="814">
      <c r="A814" s="152"/>
      <c r="B814" s="152"/>
      <c r="C814" s="152"/>
      <c r="D814" s="152"/>
      <c r="E814" s="152"/>
      <c r="F814" s="152"/>
      <c r="G814" s="152"/>
      <c r="H814" s="152"/>
      <c r="I814" s="152"/>
      <c r="J814" s="152"/>
      <c r="K814" s="152"/>
      <c r="L814" s="152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</row>
    <row r="815">
      <c r="A815" s="152"/>
      <c r="B815" s="152"/>
      <c r="C815" s="152"/>
      <c r="D815" s="152"/>
      <c r="E815" s="152"/>
      <c r="F815" s="152"/>
      <c r="G815" s="152"/>
      <c r="H815" s="152"/>
      <c r="I815" s="152"/>
      <c r="J815" s="152"/>
      <c r="K815" s="152"/>
      <c r="L815" s="152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</row>
    <row r="816">
      <c r="A816" s="152"/>
      <c r="B816" s="152"/>
      <c r="C816" s="152"/>
      <c r="D816" s="152"/>
      <c r="E816" s="152"/>
      <c r="F816" s="152"/>
      <c r="G816" s="152"/>
      <c r="H816" s="152"/>
      <c r="I816" s="152"/>
      <c r="J816" s="152"/>
      <c r="K816" s="152"/>
      <c r="L816" s="152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</row>
    <row r="817">
      <c r="A817" s="152"/>
      <c r="B817" s="152"/>
      <c r="C817" s="152"/>
      <c r="D817" s="152"/>
      <c r="E817" s="152"/>
      <c r="F817" s="152"/>
      <c r="G817" s="152"/>
      <c r="H817" s="152"/>
      <c r="I817" s="152"/>
      <c r="J817" s="152"/>
      <c r="K817" s="152"/>
      <c r="L817" s="152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</row>
    <row r="818">
      <c r="A818" s="152"/>
      <c r="B818" s="152"/>
      <c r="C818" s="152"/>
      <c r="D818" s="152"/>
      <c r="E818" s="152"/>
      <c r="F818" s="152"/>
      <c r="G818" s="152"/>
      <c r="H818" s="152"/>
      <c r="I818" s="152"/>
      <c r="J818" s="152"/>
      <c r="K818" s="152"/>
      <c r="L818" s="152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</row>
    <row r="819">
      <c r="A819" s="152"/>
      <c r="B819" s="152"/>
      <c r="C819" s="152"/>
      <c r="D819" s="152"/>
      <c r="E819" s="152"/>
      <c r="F819" s="152"/>
      <c r="G819" s="152"/>
      <c r="H819" s="152"/>
      <c r="I819" s="152"/>
      <c r="J819" s="152"/>
      <c r="K819" s="152"/>
      <c r="L819" s="152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</row>
    <row r="820">
      <c r="A820" s="152"/>
      <c r="B820" s="152"/>
      <c r="C820" s="152"/>
      <c r="D820" s="152"/>
      <c r="E820" s="152"/>
      <c r="F820" s="152"/>
      <c r="G820" s="152"/>
      <c r="H820" s="152"/>
      <c r="I820" s="152"/>
      <c r="J820" s="152"/>
      <c r="K820" s="152"/>
      <c r="L820" s="152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</row>
    <row r="821">
      <c r="A821" s="152"/>
      <c r="B821" s="152"/>
      <c r="C821" s="152"/>
      <c r="D821" s="152"/>
      <c r="E821" s="152"/>
      <c r="F821" s="152"/>
      <c r="G821" s="152"/>
      <c r="H821" s="152"/>
      <c r="I821" s="152"/>
      <c r="J821" s="152"/>
      <c r="K821" s="152"/>
      <c r="L821" s="152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</row>
    <row r="822">
      <c r="A822" s="152"/>
      <c r="B822" s="152"/>
      <c r="C822" s="152"/>
      <c r="D822" s="152"/>
      <c r="E822" s="152"/>
      <c r="F822" s="152"/>
      <c r="G822" s="152"/>
      <c r="H822" s="152"/>
      <c r="I822" s="152"/>
      <c r="J822" s="152"/>
      <c r="K822" s="152"/>
      <c r="L822" s="152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</row>
    <row r="823">
      <c r="A823" s="152"/>
      <c r="B823" s="152"/>
      <c r="C823" s="152"/>
      <c r="D823" s="152"/>
      <c r="E823" s="152"/>
      <c r="F823" s="152"/>
      <c r="G823" s="152"/>
      <c r="H823" s="152"/>
      <c r="I823" s="152"/>
      <c r="J823" s="152"/>
      <c r="K823" s="152"/>
      <c r="L823" s="152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</row>
    <row r="824">
      <c r="A824" s="152"/>
      <c r="B824" s="152"/>
      <c r="C824" s="152"/>
      <c r="D824" s="152"/>
      <c r="E824" s="152"/>
      <c r="F824" s="152"/>
      <c r="G824" s="152"/>
      <c r="H824" s="152"/>
      <c r="I824" s="152"/>
      <c r="J824" s="152"/>
      <c r="K824" s="152"/>
      <c r="L824" s="152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</row>
    <row r="825">
      <c r="A825" s="152"/>
      <c r="B825" s="152"/>
      <c r="C825" s="152"/>
      <c r="D825" s="152"/>
      <c r="E825" s="152"/>
      <c r="F825" s="152"/>
      <c r="G825" s="152"/>
      <c r="H825" s="152"/>
      <c r="I825" s="152"/>
      <c r="J825" s="152"/>
      <c r="K825" s="152"/>
      <c r="L825" s="152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</row>
    <row r="826">
      <c r="A826" s="152"/>
      <c r="B826" s="152"/>
      <c r="C826" s="152"/>
      <c r="D826" s="152"/>
      <c r="E826" s="152"/>
      <c r="F826" s="152"/>
      <c r="G826" s="152"/>
      <c r="H826" s="152"/>
      <c r="I826" s="152"/>
      <c r="J826" s="152"/>
      <c r="K826" s="152"/>
      <c r="L826" s="152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</row>
    <row r="827">
      <c r="A827" s="152"/>
      <c r="B827" s="152"/>
      <c r="C827" s="152"/>
      <c r="D827" s="152"/>
      <c r="E827" s="152"/>
      <c r="F827" s="152"/>
      <c r="G827" s="152"/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</row>
    <row r="828">
      <c r="A828" s="152"/>
      <c r="B828" s="152"/>
      <c r="C828" s="152"/>
      <c r="D828" s="152"/>
      <c r="E828" s="152"/>
      <c r="F828" s="152"/>
      <c r="G828" s="152"/>
      <c r="H828" s="152"/>
      <c r="I828" s="152"/>
      <c r="J828" s="152"/>
      <c r="K828" s="152"/>
      <c r="L828" s="152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52"/>
      <c r="Y828" s="152"/>
      <c r="Z828" s="152"/>
    </row>
    <row r="829">
      <c r="A829" s="152"/>
      <c r="B829" s="152"/>
      <c r="C829" s="152"/>
      <c r="D829" s="152"/>
      <c r="E829" s="152"/>
      <c r="F829" s="152"/>
      <c r="G829" s="152"/>
      <c r="H829" s="152"/>
      <c r="I829" s="152"/>
      <c r="J829" s="152"/>
      <c r="K829" s="152"/>
      <c r="L829" s="152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52"/>
      <c r="Y829" s="152"/>
      <c r="Z829" s="152"/>
    </row>
    <row r="830">
      <c r="A830" s="152"/>
      <c r="B830" s="152"/>
      <c r="C830" s="152"/>
      <c r="D830" s="152"/>
      <c r="E830" s="152"/>
      <c r="F830" s="152"/>
      <c r="G830" s="152"/>
      <c r="H830" s="152"/>
      <c r="I830" s="152"/>
      <c r="J830" s="152"/>
      <c r="K830" s="152"/>
      <c r="L830" s="152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</row>
    <row r="831">
      <c r="A831" s="152"/>
      <c r="B831" s="152"/>
      <c r="C831" s="152"/>
      <c r="D831" s="152"/>
      <c r="E831" s="152"/>
      <c r="F831" s="152"/>
      <c r="G831" s="152"/>
      <c r="H831" s="152"/>
      <c r="I831" s="152"/>
      <c r="J831" s="152"/>
      <c r="K831" s="152"/>
      <c r="L831" s="152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</row>
    <row r="832">
      <c r="A832" s="152"/>
      <c r="B832" s="152"/>
      <c r="C832" s="152"/>
      <c r="D832" s="152"/>
      <c r="E832" s="152"/>
      <c r="F832" s="152"/>
      <c r="G832" s="152"/>
      <c r="H832" s="152"/>
      <c r="I832" s="152"/>
      <c r="J832" s="152"/>
      <c r="K832" s="152"/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</row>
    <row r="833">
      <c r="A833" s="152"/>
      <c r="B833" s="152"/>
      <c r="C833" s="152"/>
      <c r="D833" s="152"/>
      <c r="E833" s="152"/>
      <c r="F833" s="152"/>
      <c r="G833" s="152"/>
      <c r="H833" s="152"/>
      <c r="I833" s="152"/>
      <c r="J833" s="152"/>
      <c r="K833" s="152"/>
      <c r="L833" s="152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</row>
    <row r="834">
      <c r="A834" s="152"/>
      <c r="B834" s="152"/>
      <c r="C834" s="152"/>
      <c r="D834" s="152"/>
      <c r="E834" s="152"/>
      <c r="F834" s="152"/>
      <c r="G834" s="152"/>
      <c r="H834" s="152"/>
      <c r="I834" s="152"/>
      <c r="J834" s="152"/>
      <c r="K834" s="152"/>
      <c r="L834" s="152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</row>
    <row r="835">
      <c r="A835" s="152"/>
      <c r="B835" s="152"/>
      <c r="C835" s="152"/>
      <c r="D835" s="152"/>
      <c r="E835" s="152"/>
      <c r="F835" s="152"/>
      <c r="G835" s="152"/>
      <c r="H835" s="152"/>
      <c r="I835" s="152"/>
      <c r="J835" s="152"/>
      <c r="K835" s="152"/>
      <c r="L835" s="152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</row>
    <row r="836">
      <c r="A836" s="152"/>
      <c r="B836" s="152"/>
      <c r="C836" s="152"/>
      <c r="D836" s="152"/>
      <c r="E836" s="152"/>
      <c r="F836" s="152"/>
      <c r="G836" s="152"/>
      <c r="H836" s="152"/>
      <c r="I836" s="152"/>
      <c r="J836" s="152"/>
      <c r="K836" s="152"/>
      <c r="L836" s="152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</row>
    <row r="837">
      <c r="A837" s="152"/>
      <c r="B837" s="152"/>
      <c r="C837" s="152"/>
      <c r="D837" s="152"/>
      <c r="E837" s="152"/>
      <c r="F837" s="152"/>
      <c r="G837" s="152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</row>
    <row r="838">
      <c r="A838" s="152"/>
      <c r="B838" s="152"/>
      <c r="C838" s="152"/>
      <c r="D838" s="152"/>
      <c r="E838" s="152"/>
      <c r="F838" s="152"/>
      <c r="G838" s="152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</row>
    <row r="839">
      <c r="A839" s="152"/>
      <c r="B839" s="152"/>
      <c r="C839" s="152"/>
      <c r="D839" s="152"/>
      <c r="E839" s="152"/>
      <c r="F839" s="152"/>
      <c r="G839" s="152"/>
      <c r="H839" s="152"/>
      <c r="I839" s="152"/>
      <c r="J839" s="152"/>
      <c r="K839" s="152"/>
      <c r="L839" s="152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</row>
    <row r="840">
      <c r="A840" s="152"/>
      <c r="B840" s="152"/>
      <c r="C840" s="152"/>
      <c r="D840" s="152"/>
      <c r="E840" s="152"/>
      <c r="F840" s="152"/>
      <c r="G840" s="152"/>
      <c r="H840" s="152"/>
      <c r="I840" s="152"/>
      <c r="J840" s="152"/>
      <c r="K840" s="152"/>
      <c r="L840" s="152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</row>
    <row r="841">
      <c r="A841" s="152"/>
      <c r="B841" s="152"/>
      <c r="C841" s="152"/>
      <c r="D841" s="152"/>
      <c r="E841" s="152"/>
      <c r="F841" s="152"/>
      <c r="G841" s="152"/>
      <c r="H841" s="152"/>
      <c r="I841" s="152"/>
      <c r="J841" s="152"/>
      <c r="K841" s="152"/>
      <c r="L841" s="152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</row>
    <row r="842">
      <c r="A842" s="152"/>
      <c r="B842" s="152"/>
      <c r="C842" s="152"/>
      <c r="D842" s="152"/>
      <c r="E842" s="152"/>
      <c r="F842" s="152"/>
      <c r="G842" s="152"/>
      <c r="H842" s="152"/>
      <c r="I842" s="152"/>
      <c r="J842" s="152"/>
      <c r="K842" s="152"/>
      <c r="L842" s="152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</row>
    <row r="843">
      <c r="A843" s="152"/>
      <c r="B843" s="152"/>
      <c r="C843" s="152"/>
      <c r="D843" s="152"/>
      <c r="E843" s="152"/>
      <c r="F843" s="152"/>
      <c r="G843" s="152"/>
      <c r="H843" s="152"/>
      <c r="I843" s="152"/>
      <c r="J843" s="152"/>
      <c r="K843" s="152"/>
      <c r="L843" s="152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</row>
    <row r="844">
      <c r="A844" s="152"/>
      <c r="B844" s="152"/>
      <c r="C844" s="152"/>
      <c r="D844" s="152"/>
      <c r="E844" s="152"/>
      <c r="F844" s="152"/>
      <c r="G844" s="152"/>
      <c r="H844" s="152"/>
      <c r="I844" s="152"/>
      <c r="J844" s="152"/>
      <c r="K844" s="152"/>
      <c r="L844" s="152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</row>
    <row r="845">
      <c r="A845" s="152"/>
      <c r="B845" s="152"/>
      <c r="C845" s="152"/>
      <c r="D845" s="152"/>
      <c r="E845" s="152"/>
      <c r="F845" s="152"/>
      <c r="G845" s="152"/>
      <c r="H845" s="152"/>
      <c r="I845" s="152"/>
      <c r="J845" s="152"/>
      <c r="K845" s="152"/>
      <c r="L845" s="152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</row>
    <row r="846">
      <c r="A846" s="152"/>
      <c r="B846" s="152"/>
      <c r="C846" s="152"/>
      <c r="D846" s="152"/>
      <c r="E846" s="152"/>
      <c r="F846" s="152"/>
      <c r="G846" s="152"/>
      <c r="H846" s="152"/>
      <c r="I846" s="152"/>
      <c r="J846" s="152"/>
      <c r="K846" s="152"/>
      <c r="L846" s="152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</row>
    <row r="847">
      <c r="A847" s="152"/>
      <c r="B847" s="152"/>
      <c r="C847" s="152"/>
      <c r="D847" s="152"/>
      <c r="E847" s="152"/>
      <c r="F847" s="152"/>
      <c r="G847" s="152"/>
      <c r="H847" s="152"/>
      <c r="I847" s="152"/>
      <c r="J847" s="152"/>
      <c r="K847" s="152"/>
      <c r="L847" s="152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</row>
    <row r="848">
      <c r="A848" s="152"/>
      <c r="B848" s="152"/>
      <c r="C848" s="152"/>
      <c r="D848" s="152"/>
      <c r="E848" s="152"/>
      <c r="F848" s="152"/>
      <c r="G848" s="152"/>
      <c r="H848" s="152"/>
      <c r="I848" s="152"/>
      <c r="J848" s="152"/>
      <c r="K848" s="152"/>
      <c r="L848" s="152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</row>
    <row r="849">
      <c r="A849" s="152"/>
      <c r="B849" s="152"/>
      <c r="C849" s="152"/>
      <c r="D849" s="152"/>
      <c r="E849" s="152"/>
      <c r="F849" s="152"/>
      <c r="G849" s="152"/>
      <c r="H849" s="152"/>
      <c r="I849" s="152"/>
      <c r="J849" s="152"/>
      <c r="K849" s="152"/>
      <c r="L849" s="152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</row>
    <row r="850">
      <c r="A850" s="152"/>
      <c r="B850" s="152"/>
      <c r="C850" s="152"/>
      <c r="D850" s="152"/>
      <c r="E850" s="152"/>
      <c r="F850" s="152"/>
      <c r="G850" s="152"/>
      <c r="H850" s="152"/>
      <c r="I850" s="152"/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</row>
    <row r="851">
      <c r="A851" s="152"/>
      <c r="B851" s="152"/>
      <c r="C851" s="152"/>
      <c r="D851" s="152"/>
      <c r="E851" s="152"/>
      <c r="F851" s="152"/>
      <c r="G851" s="152"/>
      <c r="H851" s="152"/>
      <c r="I851" s="152"/>
      <c r="J851" s="152"/>
      <c r="K851" s="152"/>
      <c r="L851" s="152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</row>
    <row r="852">
      <c r="A852" s="152"/>
      <c r="B852" s="152"/>
      <c r="C852" s="152"/>
      <c r="D852" s="152"/>
      <c r="E852" s="152"/>
      <c r="F852" s="152"/>
      <c r="G852" s="152"/>
      <c r="H852" s="152"/>
      <c r="I852" s="152"/>
      <c r="J852" s="152"/>
      <c r="K852" s="152"/>
      <c r="L852" s="152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</row>
    <row r="853">
      <c r="A853" s="152"/>
      <c r="B853" s="152"/>
      <c r="C853" s="152"/>
      <c r="D853" s="152"/>
      <c r="E853" s="152"/>
      <c r="F853" s="152"/>
      <c r="G853" s="152"/>
      <c r="H853" s="152"/>
      <c r="I853" s="152"/>
      <c r="J853" s="152"/>
      <c r="K853" s="152"/>
      <c r="L853" s="152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</row>
    <row r="854">
      <c r="A854" s="152"/>
      <c r="B854" s="152"/>
      <c r="C854" s="152"/>
      <c r="D854" s="152"/>
      <c r="E854" s="152"/>
      <c r="F854" s="152"/>
      <c r="G854" s="152"/>
      <c r="H854" s="152"/>
      <c r="I854" s="152"/>
      <c r="J854" s="152"/>
      <c r="K854" s="152"/>
      <c r="L854" s="152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</row>
    <row r="855">
      <c r="A855" s="152"/>
      <c r="B855" s="152"/>
      <c r="C855" s="152"/>
      <c r="D855" s="152"/>
      <c r="E855" s="152"/>
      <c r="F855" s="152"/>
      <c r="G855" s="152"/>
      <c r="H855" s="152"/>
      <c r="I855" s="152"/>
      <c r="J855" s="152"/>
      <c r="K855" s="152"/>
      <c r="L855" s="152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</row>
    <row r="856">
      <c r="A856" s="152"/>
      <c r="B856" s="152"/>
      <c r="C856" s="152"/>
      <c r="D856" s="152"/>
      <c r="E856" s="152"/>
      <c r="F856" s="152"/>
      <c r="G856" s="152"/>
      <c r="H856" s="152"/>
      <c r="I856" s="152"/>
      <c r="J856" s="152"/>
      <c r="K856" s="152"/>
      <c r="L856" s="152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</row>
    <row r="857">
      <c r="A857" s="152"/>
      <c r="B857" s="152"/>
      <c r="C857" s="152"/>
      <c r="D857" s="152"/>
      <c r="E857" s="152"/>
      <c r="F857" s="152"/>
      <c r="G857" s="152"/>
      <c r="H857" s="152"/>
      <c r="I857" s="152"/>
      <c r="J857" s="152"/>
      <c r="K857" s="152"/>
      <c r="L857" s="152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</row>
    <row r="858">
      <c r="A858" s="152"/>
      <c r="B858" s="152"/>
      <c r="C858" s="152"/>
      <c r="D858" s="152"/>
      <c r="E858" s="152"/>
      <c r="F858" s="152"/>
      <c r="G858" s="152"/>
      <c r="H858" s="152"/>
      <c r="I858" s="152"/>
      <c r="J858" s="152"/>
      <c r="K858" s="152"/>
      <c r="L858" s="152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</row>
    <row r="859">
      <c r="A859" s="152"/>
      <c r="B859" s="152"/>
      <c r="C859" s="152"/>
      <c r="D859" s="152"/>
      <c r="E859" s="152"/>
      <c r="F859" s="152"/>
      <c r="G859" s="152"/>
      <c r="H859" s="152"/>
      <c r="I859" s="152"/>
      <c r="J859" s="152"/>
      <c r="K859" s="152"/>
      <c r="L859" s="152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</row>
    <row r="860">
      <c r="A860" s="152"/>
      <c r="B860" s="152"/>
      <c r="C860" s="152"/>
      <c r="D860" s="152"/>
      <c r="E860" s="152"/>
      <c r="F860" s="152"/>
      <c r="G860" s="152"/>
      <c r="H860" s="152"/>
      <c r="I860" s="152"/>
      <c r="J860" s="152"/>
      <c r="K860" s="152"/>
      <c r="L860" s="152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</row>
    <row r="861">
      <c r="A861" s="152"/>
      <c r="B861" s="152"/>
      <c r="C861" s="152"/>
      <c r="D861" s="152"/>
      <c r="E861" s="152"/>
      <c r="F861" s="152"/>
      <c r="G861" s="152"/>
      <c r="H861" s="152"/>
      <c r="I861" s="152"/>
      <c r="J861" s="152"/>
      <c r="K861" s="152"/>
      <c r="L861" s="152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</row>
    <row r="862">
      <c r="A862" s="152"/>
      <c r="B862" s="152"/>
      <c r="C862" s="152"/>
      <c r="D862" s="152"/>
      <c r="E862" s="152"/>
      <c r="F862" s="152"/>
      <c r="G862" s="152"/>
      <c r="H862" s="152"/>
      <c r="I862" s="152"/>
      <c r="J862" s="152"/>
      <c r="K862" s="152"/>
      <c r="L862" s="152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</row>
    <row r="863">
      <c r="A863" s="152"/>
      <c r="B863" s="152"/>
      <c r="C863" s="152"/>
      <c r="D863" s="152"/>
      <c r="E863" s="152"/>
      <c r="F863" s="152"/>
      <c r="G863" s="152"/>
      <c r="H863" s="152"/>
      <c r="I863" s="152"/>
      <c r="J863" s="152"/>
      <c r="K863" s="152"/>
      <c r="L863" s="152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</row>
    <row r="864">
      <c r="A864" s="152"/>
      <c r="B864" s="152"/>
      <c r="C864" s="152"/>
      <c r="D864" s="152"/>
      <c r="E864" s="152"/>
      <c r="F864" s="152"/>
      <c r="G864" s="152"/>
      <c r="H864" s="152"/>
      <c r="I864" s="152"/>
      <c r="J864" s="152"/>
      <c r="K864" s="152"/>
      <c r="L864" s="152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</row>
    <row r="865">
      <c r="A865" s="152"/>
      <c r="B865" s="152"/>
      <c r="C865" s="152"/>
      <c r="D865" s="152"/>
      <c r="E865" s="152"/>
      <c r="F865" s="152"/>
      <c r="G865" s="152"/>
      <c r="H865" s="152"/>
      <c r="I865" s="152"/>
      <c r="J865" s="152"/>
      <c r="K865" s="152"/>
      <c r="L865" s="152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</row>
    <row r="866">
      <c r="A866" s="152"/>
      <c r="B866" s="152"/>
      <c r="C866" s="152"/>
      <c r="D866" s="152"/>
      <c r="E866" s="152"/>
      <c r="F866" s="152"/>
      <c r="G866" s="152"/>
      <c r="H866" s="152"/>
      <c r="I866" s="152"/>
      <c r="J866" s="152"/>
      <c r="K866" s="152"/>
      <c r="L866" s="152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52"/>
      <c r="Y866" s="152"/>
      <c r="Z866" s="152"/>
    </row>
    <row r="867">
      <c r="A867" s="152"/>
      <c r="B867" s="152"/>
      <c r="C867" s="152"/>
      <c r="D867" s="152"/>
      <c r="E867" s="152"/>
      <c r="F867" s="152"/>
      <c r="G867" s="152"/>
      <c r="H867" s="152"/>
      <c r="I867" s="152"/>
      <c r="J867" s="152"/>
      <c r="K867" s="152"/>
      <c r="L867" s="152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52"/>
      <c r="Y867" s="152"/>
      <c r="Z867" s="152"/>
    </row>
    <row r="868">
      <c r="A868" s="152"/>
      <c r="B868" s="152"/>
      <c r="C868" s="152"/>
      <c r="D868" s="152"/>
      <c r="E868" s="152"/>
      <c r="F868" s="152"/>
      <c r="G868" s="152"/>
      <c r="H868" s="152"/>
      <c r="I868" s="152"/>
      <c r="J868" s="152"/>
      <c r="K868" s="152"/>
      <c r="L868" s="152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</row>
    <row r="869">
      <c r="A869" s="152"/>
      <c r="B869" s="152"/>
      <c r="C869" s="152"/>
      <c r="D869" s="152"/>
      <c r="E869" s="152"/>
      <c r="F869" s="152"/>
      <c r="G869" s="152"/>
      <c r="H869" s="152"/>
      <c r="I869" s="152"/>
      <c r="J869" s="152"/>
      <c r="K869" s="152"/>
      <c r="L869" s="152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</row>
    <row r="870">
      <c r="A870" s="152"/>
      <c r="B870" s="152"/>
      <c r="C870" s="152"/>
      <c r="D870" s="152"/>
      <c r="E870" s="152"/>
      <c r="F870" s="152"/>
      <c r="G870" s="152"/>
      <c r="H870" s="152"/>
      <c r="I870" s="152"/>
      <c r="J870" s="152"/>
      <c r="K870" s="152"/>
      <c r="L870" s="152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</row>
    <row r="871">
      <c r="A871" s="152"/>
      <c r="B871" s="152"/>
      <c r="C871" s="152"/>
      <c r="D871" s="152"/>
      <c r="E871" s="152"/>
      <c r="F871" s="152"/>
      <c r="G871" s="152"/>
      <c r="H871" s="152"/>
      <c r="I871" s="152"/>
      <c r="J871" s="152"/>
      <c r="K871" s="152"/>
      <c r="L871" s="152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</row>
    <row r="872">
      <c r="A872" s="152"/>
      <c r="B872" s="152"/>
      <c r="C872" s="152"/>
      <c r="D872" s="152"/>
      <c r="E872" s="152"/>
      <c r="F872" s="152"/>
      <c r="G872" s="152"/>
      <c r="H872" s="152"/>
      <c r="I872" s="152"/>
      <c r="J872" s="152"/>
      <c r="K872" s="152"/>
      <c r="L872" s="152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</row>
    <row r="873">
      <c r="A873" s="152"/>
      <c r="B873" s="152"/>
      <c r="C873" s="152"/>
      <c r="D873" s="152"/>
      <c r="E873" s="152"/>
      <c r="F873" s="152"/>
      <c r="G873" s="152"/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</row>
    <row r="874">
      <c r="A874" s="152"/>
      <c r="B874" s="152"/>
      <c r="C874" s="152"/>
      <c r="D874" s="152"/>
      <c r="E874" s="152"/>
      <c r="F874" s="152"/>
      <c r="G874" s="152"/>
      <c r="H874" s="152"/>
      <c r="I874" s="152"/>
      <c r="J874" s="152"/>
      <c r="K874" s="152"/>
      <c r="L874" s="152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</row>
    <row r="875">
      <c r="A875" s="152"/>
      <c r="B875" s="152"/>
      <c r="C875" s="152"/>
      <c r="D875" s="152"/>
      <c r="E875" s="152"/>
      <c r="F875" s="152"/>
      <c r="G875" s="152"/>
      <c r="H875" s="152"/>
      <c r="I875" s="152"/>
      <c r="J875" s="152"/>
      <c r="K875" s="152"/>
      <c r="L875" s="152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</row>
    <row r="876">
      <c r="A876" s="152"/>
      <c r="B876" s="152"/>
      <c r="C876" s="152"/>
      <c r="D876" s="152"/>
      <c r="E876" s="152"/>
      <c r="F876" s="152"/>
      <c r="G876" s="152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</row>
    <row r="877">
      <c r="A877" s="152"/>
      <c r="B877" s="152"/>
      <c r="C877" s="152"/>
      <c r="D877" s="152"/>
      <c r="E877" s="152"/>
      <c r="F877" s="152"/>
      <c r="G877" s="152"/>
      <c r="H877" s="152"/>
      <c r="I877" s="152"/>
      <c r="J877" s="152"/>
      <c r="K877" s="152"/>
      <c r="L877" s="152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</row>
    <row r="878">
      <c r="A878" s="152"/>
      <c r="B878" s="152"/>
      <c r="C878" s="152"/>
      <c r="D878" s="152"/>
      <c r="E878" s="152"/>
      <c r="F878" s="152"/>
      <c r="G878" s="152"/>
      <c r="H878" s="152"/>
      <c r="I878" s="152"/>
      <c r="J878" s="152"/>
      <c r="K878" s="152"/>
      <c r="L878" s="152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</row>
    <row r="879">
      <c r="A879" s="152"/>
      <c r="B879" s="152"/>
      <c r="C879" s="152"/>
      <c r="D879" s="152"/>
      <c r="E879" s="152"/>
      <c r="F879" s="152"/>
      <c r="G879" s="152"/>
      <c r="H879" s="152"/>
      <c r="I879" s="152"/>
      <c r="J879" s="152"/>
      <c r="K879" s="152"/>
      <c r="L879" s="152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</row>
    <row r="880">
      <c r="A880" s="152"/>
      <c r="B880" s="152"/>
      <c r="C880" s="152"/>
      <c r="D880" s="152"/>
      <c r="E880" s="152"/>
      <c r="F880" s="152"/>
      <c r="G880" s="152"/>
      <c r="H880" s="152"/>
      <c r="I880" s="152"/>
      <c r="J880" s="152"/>
      <c r="K880" s="152"/>
      <c r="L880" s="152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</row>
    <row r="881">
      <c r="A881" s="152"/>
      <c r="B881" s="152"/>
      <c r="C881" s="152"/>
      <c r="D881" s="152"/>
      <c r="E881" s="152"/>
      <c r="F881" s="152"/>
      <c r="G881" s="152"/>
      <c r="H881" s="152"/>
      <c r="I881" s="152"/>
      <c r="J881" s="152"/>
      <c r="K881" s="152"/>
      <c r="L881" s="152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</row>
    <row r="882">
      <c r="A882" s="152"/>
      <c r="B882" s="152"/>
      <c r="C882" s="152"/>
      <c r="D882" s="152"/>
      <c r="E882" s="152"/>
      <c r="F882" s="152"/>
      <c r="G882" s="152"/>
      <c r="H882" s="152"/>
      <c r="I882" s="152"/>
      <c r="J882" s="152"/>
      <c r="K882" s="152"/>
      <c r="L882" s="152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</row>
    <row r="883">
      <c r="A883" s="152"/>
      <c r="B883" s="152"/>
      <c r="C883" s="152"/>
      <c r="D883" s="152"/>
      <c r="E883" s="152"/>
      <c r="F883" s="152"/>
      <c r="G883" s="152"/>
      <c r="H883" s="152"/>
      <c r="I883" s="152"/>
      <c r="J883" s="152"/>
      <c r="K883" s="152"/>
      <c r="L883" s="152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</row>
    <row r="884">
      <c r="A884" s="152"/>
      <c r="B884" s="152"/>
      <c r="C884" s="152"/>
      <c r="D884" s="152"/>
      <c r="E884" s="152"/>
      <c r="F884" s="152"/>
      <c r="G884" s="152"/>
      <c r="H884" s="152"/>
      <c r="I884" s="152"/>
      <c r="J884" s="152"/>
      <c r="K884" s="152"/>
      <c r="L884" s="152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</row>
    <row r="885">
      <c r="A885" s="152"/>
      <c r="B885" s="152"/>
      <c r="C885" s="152"/>
      <c r="D885" s="152"/>
      <c r="E885" s="152"/>
      <c r="F885" s="152"/>
      <c r="G885" s="152"/>
      <c r="H885" s="152"/>
      <c r="I885" s="152"/>
      <c r="J885" s="152"/>
      <c r="K885" s="152"/>
      <c r="L885" s="152"/>
      <c r="M885" s="152"/>
      <c r="N885" s="152"/>
      <c r="O885" s="152"/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</row>
    <row r="886">
      <c r="A886" s="152"/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</row>
    <row r="887">
      <c r="A887" s="152"/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</row>
    <row r="888">
      <c r="A888" s="152"/>
      <c r="B888" s="152"/>
      <c r="C888" s="152"/>
      <c r="D888" s="152"/>
      <c r="E888" s="152"/>
      <c r="F888" s="152"/>
      <c r="G888" s="152"/>
      <c r="H888" s="152"/>
      <c r="I888" s="152"/>
      <c r="J888" s="152"/>
      <c r="K888" s="152"/>
      <c r="L888" s="152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</row>
    <row r="889">
      <c r="A889" s="152"/>
      <c r="B889" s="152"/>
      <c r="C889" s="152"/>
      <c r="D889" s="152"/>
      <c r="E889" s="152"/>
      <c r="F889" s="152"/>
      <c r="G889" s="152"/>
      <c r="H889" s="152"/>
      <c r="I889" s="152"/>
      <c r="J889" s="152"/>
      <c r="K889" s="152"/>
      <c r="L889" s="152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</row>
    <row r="890">
      <c r="A890" s="152"/>
      <c r="B890" s="152"/>
      <c r="C890" s="152"/>
      <c r="D890" s="152"/>
      <c r="E890" s="152"/>
      <c r="F890" s="152"/>
      <c r="G890" s="152"/>
      <c r="H890" s="152"/>
      <c r="I890" s="152"/>
      <c r="J890" s="152"/>
      <c r="K890" s="152"/>
      <c r="L890" s="152"/>
      <c r="M890" s="152"/>
      <c r="N890" s="152"/>
      <c r="O890" s="152"/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</row>
    <row r="891">
      <c r="A891" s="152"/>
      <c r="B891" s="152"/>
      <c r="C891" s="152"/>
      <c r="D891" s="152"/>
      <c r="E891" s="152"/>
      <c r="F891" s="152"/>
      <c r="G891" s="152"/>
      <c r="H891" s="152"/>
      <c r="I891" s="152"/>
      <c r="J891" s="152"/>
      <c r="K891" s="152"/>
      <c r="L891" s="152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</row>
    <row r="892">
      <c r="A892" s="152"/>
      <c r="B892" s="152"/>
      <c r="C892" s="152"/>
      <c r="D892" s="152"/>
      <c r="E892" s="152"/>
      <c r="F892" s="152"/>
      <c r="G892" s="152"/>
      <c r="H892" s="152"/>
      <c r="I892" s="152"/>
      <c r="J892" s="152"/>
      <c r="K892" s="152"/>
      <c r="L892" s="152"/>
      <c r="M892" s="152"/>
      <c r="N892" s="152"/>
      <c r="O892" s="152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</row>
    <row r="893">
      <c r="A893" s="152"/>
      <c r="B893" s="152"/>
      <c r="C893" s="152"/>
      <c r="D893" s="152"/>
      <c r="E893" s="152"/>
      <c r="F893" s="152"/>
      <c r="G893" s="152"/>
      <c r="H893" s="152"/>
      <c r="I893" s="152"/>
      <c r="J893" s="152"/>
      <c r="K893" s="152"/>
      <c r="L893" s="152"/>
      <c r="M893" s="152"/>
      <c r="N893" s="152"/>
      <c r="O893" s="152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</row>
    <row r="894">
      <c r="A894" s="152"/>
      <c r="B894" s="152"/>
      <c r="C894" s="152"/>
      <c r="D894" s="152"/>
      <c r="E894" s="152"/>
      <c r="F894" s="152"/>
      <c r="G894" s="152"/>
      <c r="H894" s="152"/>
      <c r="I894" s="152"/>
      <c r="J894" s="152"/>
      <c r="K894" s="152"/>
      <c r="L894" s="152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</row>
    <row r="895">
      <c r="A895" s="152"/>
      <c r="B895" s="152"/>
      <c r="C895" s="152"/>
      <c r="D895" s="152"/>
      <c r="E895" s="152"/>
      <c r="F895" s="152"/>
      <c r="G895" s="152"/>
      <c r="H895" s="152"/>
      <c r="I895" s="152"/>
      <c r="J895" s="152"/>
      <c r="K895" s="152"/>
      <c r="L895" s="152"/>
      <c r="M895" s="152"/>
      <c r="N895" s="152"/>
      <c r="O895" s="152"/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</row>
    <row r="896">
      <c r="A896" s="152"/>
      <c r="B896" s="152"/>
      <c r="C896" s="152"/>
      <c r="D896" s="152"/>
      <c r="E896" s="152"/>
      <c r="F896" s="152"/>
      <c r="G896" s="152"/>
      <c r="H896" s="152"/>
      <c r="I896" s="152"/>
      <c r="J896" s="152"/>
      <c r="K896" s="152"/>
      <c r="L896" s="152"/>
      <c r="M896" s="152"/>
      <c r="N896" s="152"/>
      <c r="O896" s="152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</row>
    <row r="897">
      <c r="A897" s="152"/>
      <c r="B897" s="152"/>
      <c r="C897" s="152"/>
      <c r="D897" s="152"/>
      <c r="E897" s="152"/>
      <c r="F897" s="152"/>
      <c r="G897" s="152"/>
      <c r="H897" s="152"/>
      <c r="I897" s="152"/>
      <c r="J897" s="152"/>
      <c r="K897" s="152"/>
      <c r="L897" s="152"/>
      <c r="M897" s="152"/>
      <c r="N897" s="152"/>
      <c r="O897" s="152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</row>
    <row r="898">
      <c r="A898" s="152"/>
      <c r="B898" s="152"/>
      <c r="C898" s="152"/>
      <c r="D898" s="152"/>
      <c r="E898" s="152"/>
      <c r="F898" s="152"/>
      <c r="G898" s="152"/>
      <c r="H898" s="152"/>
      <c r="I898" s="152"/>
      <c r="J898" s="152"/>
      <c r="K898" s="152"/>
      <c r="L898" s="152"/>
      <c r="M898" s="152"/>
      <c r="N898" s="152"/>
      <c r="O898" s="152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</row>
    <row r="899">
      <c r="A899" s="152"/>
      <c r="B899" s="152"/>
      <c r="C899" s="152"/>
      <c r="D899" s="152"/>
      <c r="E899" s="152"/>
      <c r="F899" s="152"/>
      <c r="G899" s="152"/>
      <c r="H899" s="152"/>
      <c r="I899" s="152"/>
      <c r="J899" s="152"/>
      <c r="K899" s="152"/>
      <c r="L899" s="152"/>
      <c r="M899" s="152"/>
      <c r="N899" s="152"/>
      <c r="O899" s="152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</row>
    <row r="900">
      <c r="A900" s="152"/>
      <c r="B900" s="152"/>
      <c r="C900" s="152"/>
      <c r="D900" s="152"/>
      <c r="E900" s="152"/>
      <c r="F900" s="152"/>
      <c r="G900" s="152"/>
      <c r="H900" s="152"/>
      <c r="I900" s="152"/>
      <c r="J900" s="152"/>
      <c r="K900" s="152"/>
      <c r="L900" s="152"/>
      <c r="M900" s="152"/>
      <c r="N900" s="152"/>
      <c r="O900" s="152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</row>
    <row r="901">
      <c r="A901" s="152"/>
      <c r="B901" s="152"/>
      <c r="C901" s="152"/>
      <c r="D901" s="152"/>
      <c r="E901" s="152"/>
      <c r="F901" s="152"/>
      <c r="G901" s="152"/>
      <c r="H901" s="152"/>
      <c r="I901" s="152"/>
      <c r="J901" s="152"/>
      <c r="K901" s="152"/>
      <c r="L901" s="152"/>
      <c r="M901" s="152"/>
      <c r="N901" s="152"/>
      <c r="O901" s="152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</row>
    <row r="902">
      <c r="A902" s="152"/>
      <c r="B902" s="152"/>
      <c r="C902" s="152"/>
      <c r="D902" s="152"/>
      <c r="E902" s="152"/>
      <c r="F902" s="152"/>
      <c r="G902" s="152"/>
      <c r="H902" s="152"/>
      <c r="I902" s="152"/>
      <c r="J902" s="152"/>
      <c r="K902" s="152"/>
      <c r="L902" s="152"/>
      <c r="M902" s="152"/>
      <c r="N902" s="152"/>
      <c r="O902" s="152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</row>
    <row r="903">
      <c r="A903" s="152"/>
      <c r="B903" s="152"/>
      <c r="C903" s="152"/>
      <c r="D903" s="152"/>
      <c r="E903" s="152"/>
      <c r="F903" s="152"/>
      <c r="G903" s="152"/>
      <c r="H903" s="152"/>
      <c r="I903" s="152"/>
      <c r="J903" s="152"/>
      <c r="K903" s="152"/>
      <c r="L903" s="152"/>
      <c r="M903" s="152"/>
      <c r="N903" s="152"/>
      <c r="O903" s="152"/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</row>
    <row r="904">
      <c r="A904" s="152"/>
      <c r="B904" s="152"/>
      <c r="C904" s="152"/>
      <c r="D904" s="152"/>
      <c r="E904" s="152"/>
      <c r="F904" s="152"/>
      <c r="G904" s="152"/>
      <c r="H904" s="152"/>
      <c r="I904" s="152"/>
      <c r="J904" s="152"/>
      <c r="K904" s="152"/>
      <c r="L904" s="152"/>
      <c r="M904" s="152"/>
      <c r="N904" s="152"/>
      <c r="O904" s="152"/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</row>
    <row r="905">
      <c r="A905" s="152"/>
      <c r="B905" s="152"/>
      <c r="C905" s="152"/>
      <c r="D905" s="152"/>
      <c r="E905" s="152"/>
      <c r="F905" s="152"/>
      <c r="G905" s="152"/>
      <c r="H905" s="152"/>
      <c r="I905" s="152"/>
      <c r="J905" s="152"/>
      <c r="K905" s="152"/>
      <c r="L905" s="152"/>
      <c r="M905" s="152"/>
      <c r="N905" s="152"/>
      <c r="O905" s="152"/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</row>
    <row r="906">
      <c r="A906" s="152"/>
      <c r="B906" s="152"/>
      <c r="C906" s="152"/>
      <c r="D906" s="152"/>
      <c r="E906" s="152"/>
      <c r="F906" s="152"/>
      <c r="G906" s="152"/>
      <c r="H906" s="152"/>
      <c r="I906" s="152"/>
      <c r="J906" s="152"/>
      <c r="K906" s="152"/>
      <c r="L906" s="152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</row>
    <row r="907">
      <c r="A907" s="152"/>
      <c r="B907" s="152"/>
      <c r="C907" s="152"/>
      <c r="D907" s="152"/>
      <c r="E907" s="152"/>
      <c r="F907" s="152"/>
      <c r="G907" s="152"/>
      <c r="H907" s="152"/>
      <c r="I907" s="152"/>
      <c r="J907" s="152"/>
      <c r="K907" s="152"/>
      <c r="L907" s="152"/>
      <c r="M907" s="152"/>
      <c r="N907" s="152"/>
      <c r="O907" s="152"/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</row>
    <row r="908">
      <c r="A908" s="152"/>
      <c r="B908" s="152"/>
      <c r="C908" s="152"/>
      <c r="D908" s="152"/>
      <c r="E908" s="152"/>
      <c r="F908" s="152"/>
      <c r="G908" s="152"/>
      <c r="H908" s="152"/>
      <c r="I908" s="152"/>
      <c r="J908" s="152"/>
      <c r="K908" s="152"/>
      <c r="L908" s="152"/>
      <c r="M908" s="152"/>
      <c r="N908" s="152"/>
      <c r="O908" s="152"/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</row>
    <row r="909">
      <c r="A909" s="152"/>
      <c r="B909" s="152"/>
      <c r="C909" s="152"/>
      <c r="D909" s="152"/>
      <c r="E909" s="152"/>
      <c r="F909" s="152"/>
      <c r="G909" s="152"/>
      <c r="H909" s="152"/>
      <c r="I909" s="152"/>
      <c r="J909" s="152"/>
      <c r="K909" s="152"/>
      <c r="L909" s="152"/>
      <c r="M909" s="152"/>
      <c r="N909" s="152"/>
      <c r="O909" s="152"/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</row>
    <row r="910">
      <c r="A910" s="152"/>
      <c r="B910" s="152"/>
      <c r="C910" s="152"/>
      <c r="D910" s="152"/>
      <c r="E910" s="152"/>
      <c r="F910" s="152"/>
      <c r="G910" s="152"/>
      <c r="H910" s="152"/>
      <c r="I910" s="152"/>
      <c r="J910" s="152"/>
      <c r="K910" s="152"/>
      <c r="L910" s="152"/>
      <c r="M910" s="152"/>
      <c r="N910" s="152"/>
      <c r="O910" s="15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</row>
    <row r="911">
      <c r="A911" s="152"/>
      <c r="B911" s="152"/>
      <c r="C911" s="152"/>
      <c r="D911" s="152"/>
      <c r="E911" s="152"/>
      <c r="F911" s="152"/>
      <c r="G911" s="152"/>
      <c r="H911" s="152"/>
      <c r="I911" s="152"/>
      <c r="J911" s="152"/>
      <c r="K911" s="152"/>
      <c r="L911" s="152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</row>
    <row r="912">
      <c r="A912" s="152"/>
      <c r="B912" s="152"/>
      <c r="C912" s="152"/>
      <c r="D912" s="152"/>
      <c r="E912" s="152"/>
      <c r="F912" s="152"/>
      <c r="G912" s="152"/>
      <c r="H912" s="152"/>
      <c r="I912" s="152"/>
      <c r="J912" s="152"/>
      <c r="K912" s="152"/>
      <c r="L912" s="152"/>
      <c r="M912" s="152"/>
      <c r="N912" s="152"/>
      <c r="O912" s="15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</row>
    <row r="913">
      <c r="A913" s="152"/>
      <c r="B913" s="152"/>
      <c r="C913" s="152"/>
      <c r="D913" s="152"/>
      <c r="E913" s="152"/>
      <c r="F913" s="152"/>
      <c r="G913" s="152"/>
      <c r="H913" s="152"/>
      <c r="I913" s="152"/>
      <c r="J913" s="152"/>
      <c r="K913" s="152"/>
      <c r="L913" s="152"/>
      <c r="M913" s="152"/>
      <c r="N913" s="152"/>
      <c r="O913" s="152"/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</row>
    <row r="914">
      <c r="A914" s="152"/>
      <c r="B914" s="152"/>
      <c r="C914" s="152"/>
      <c r="D914" s="152"/>
      <c r="E914" s="152"/>
      <c r="F914" s="152"/>
      <c r="G914" s="152"/>
      <c r="H914" s="152"/>
      <c r="I914" s="152"/>
      <c r="J914" s="152"/>
      <c r="K914" s="152"/>
      <c r="L914" s="152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</row>
    <row r="915">
      <c r="A915" s="152"/>
      <c r="B915" s="152"/>
      <c r="C915" s="152"/>
      <c r="D915" s="152"/>
      <c r="E915" s="152"/>
      <c r="F915" s="152"/>
      <c r="G915" s="152"/>
      <c r="H915" s="152"/>
      <c r="I915" s="152"/>
      <c r="J915" s="152"/>
      <c r="K915" s="152"/>
      <c r="L915" s="152"/>
      <c r="M915" s="152"/>
      <c r="N915" s="152"/>
      <c r="O915" s="15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</row>
    <row r="916">
      <c r="A916" s="152"/>
      <c r="B916" s="152"/>
      <c r="C916" s="152"/>
      <c r="D916" s="152"/>
      <c r="E916" s="152"/>
      <c r="F916" s="152"/>
      <c r="G916" s="152"/>
      <c r="H916" s="152"/>
      <c r="I916" s="152"/>
      <c r="J916" s="152"/>
      <c r="K916" s="152"/>
      <c r="L916" s="152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</row>
    <row r="917">
      <c r="A917" s="152"/>
      <c r="B917" s="152"/>
      <c r="C917" s="152"/>
      <c r="D917" s="152"/>
      <c r="E917" s="152"/>
      <c r="F917" s="152"/>
      <c r="G917" s="152"/>
      <c r="H917" s="152"/>
      <c r="I917" s="152"/>
      <c r="J917" s="152"/>
      <c r="K917" s="152"/>
      <c r="L917" s="152"/>
      <c r="M917" s="152"/>
      <c r="N917" s="152"/>
      <c r="O917" s="152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</row>
    <row r="918">
      <c r="A918" s="152"/>
      <c r="B918" s="152"/>
      <c r="C918" s="152"/>
      <c r="D918" s="152"/>
      <c r="E918" s="152"/>
      <c r="F918" s="152"/>
      <c r="G918" s="152"/>
      <c r="H918" s="152"/>
      <c r="I918" s="152"/>
      <c r="J918" s="152"/>
      <c r="K918" s="152"/>
      <c r="L918" s="152"/>
      <c r="M918" s="152"/>
      <c r="N918" s="152"/>
      <c r="O918" s="15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</row>
    <row r="919">
      <c r="A919" s="152"/>
      <c r="B919" s="152"/>
      <c r="C919" s="152"/>
      <c r="D919" s="152"/>
      <c r="E919" s="152"/>
      <c r="F919" s="152"/>
      <c r="G919" s="152"/>
      <c r="H919" s="152"/>
      <c r="I919" s="152"/>
      <c r="J919" s="152"/>
      <c r="K919" s="152"/>
      <c r="L919" s="152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</row>
    <row r="920">
      <c r="A920" s="152"/>
      <c r="B920" s="152"/>
      <c r="C920" s="152"/>
      <c r="D920" s="152"/>
      <c r="E920" s="152"/>
      <c r="F920" s="152"/>
      <c r="G920" s="152"/>
      <c r="H920" s="152"/>
      <c r="I920" s="152"/>
      <c r="J920" s="152"/>
      <c r="K920" s="152"/>
      <c r="L920" s="152"/>
      <c r="M920" s="152"/>
      <c r="N920" s="152"/>
      <c r="O920" s="152"/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</row>
    <row r="921">
      <c r="A921" s="152"/>
      <c r="B921" s="152"/>
      <c r="C921" s="152"/>
      <c r="D921" s="152"/>
      <c r="E921" s="152"/>
      <c r="F921" s="152"/>
      <c r="G921" s="152"/>
      <c r="H921" s="152"/>
      <c r="I921" s="152"/>
      <c r="J921" s="152"/>
      <c r="K921" s="152"/>
      <c r="L921" s="152"/>
      <c r="M921" s="152"/>
      <c r="N921" s="152"/>
      <c r="O921" s="152"/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</row>
    <row r="922">
      <c r="A922" s="152"/>
      <c r="B922" s="152"/>
      <c r="C922" s="152"/>
      <c r="D922" s="152"/>
      <c r="E922" s="152"/>
      <c r="F922" s="152"/>
      <c r="G922" s="152"/>
      <c r="H922" s="152"/>
      <c r="I922" s="152"/>
      <c r="J922" s="152"/>
      <c r="K922" s="152"/>
      <c r="L922" s="152"/>
      <c r="M922" s="152"/>
      <c r="N922" s="152"/>
      <c r="O922" s="152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</row>
    <row r="923">
      <c r="A923" s="152"/>
      <c r="B923" s="152"/>
      <c r="C923" s="152"/>
      <c r="D923" s="152"/>
      <c r="E923" s="152"/>
      <c r="F923" s="152"/>
      <c r="G923" s="152"/>
      <c r="H923" s="152"/>
      <c r="I923" s="152"/>
      <c r="J923" s="152"/>
      <c r="K923" s="152"/>
      <c r="L923" s="152"/>
      <c r="M923" s="152"/>
      <c r="N923" s="152"/>
      <c r="O923" s="152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</row>
    <row r="924">
      <c r="A924" s="152"/>
      <c r="B924" s="152"/>
      <c r="C924" s="152"/>
      <c r="D924" s="152"/>
      <c r="E924" s="152"/>
      <c r="F924" s="152"/>
      <c r="G924" s="152"/>
      <c r="H924" s="152"/>
      <c r="I924" s="152"/>
      <c r="J924" s="152"/>
      <c r="K924" s="152"/>
      <c r="L924" s="152"/>
      <c r="M924" s="152"/>
      <c r="N924" s="152"/>
      <c r="O924" s="152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</row>
    <row r="925">
      <c r="A925" s="152"/>
      <c r="B925" s="152"/>
      <c r="C925" s="152"/>
      <c r="D925" s="152"/>
      <c r="E925" s="152"/>
      <c r="F925" s="152"/>
      <c r="G925" s="152"/>
      <c r="H925" s="152"/>
      <c r="I925" s="152"/>
      <c r="J925" s="152"/>
      <c r="K925" s="152"/>
      <c r="L925" s="152"/>
      <c r="M925" s="152"/>
      <c r="N925" s="152"/>
      <c r="O925" s="152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</row>
    <row r="926">
      <c r="A926" s="152"/>
      <c r="B926" s="152"/>
      <c r="C926" s="152"/>
      <c r="D926" s="152"/>
      <c r="E926" s="152"/>
      <c r="F926" s="152"/>
      <c r="G926" s="152"/>
      <c r="H926" s="152"/>
      <c r="I926" s="152"/>
      <c r="J926" s="152"/>
      <c r="K926" s="152"/>
      <c r="L926" s="152"/>
      <c r="M926" s="152"/>
      <c r="N926" s="152"/>
      <c r="O926" s="152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</row>
    <row r="927">
      <c r="A927" s="152"/>
      <c r="B927" s="152"/>
      <c r="C927" s="152"/>
      <c r="D927" s="152"/>
      <c r="E927" s="152"/>
      <c r="F927" s="152"/>
      <c r="G927" s="152"/>
      <c r="H927" s="152"/>
      <c r="I927" s="152"/>
      <c r="J927" s="152"/>
      <c r="K927" s="152"/>
      <c r="L927" s="152"/>
      <c r="M927" s="152"/>
      <c r="N927" s="152"/>
      <c r="O927" s="152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</row>
    <row r="928">
      <c r="A928" s="152"/>
      <c r="B928" s="152"/>
      <c r="C928" s="152"/>
      <c r="D928" s="152"/>
      <c r="E928" s="152"/>
      <c r="F928" s="152"/>
      <c r="G928" s="152"/>
      <c r="H928" s="152"/>
      <c r="I928" s="152"/>
      <c r="J928" s="152"/>
      <c r="K928" s="152"/>
      <c r="L928" s="152"/>
      <c r="M928" s="152"/>
      <c r="N928" s="152"/>
      <c r="O928" s="152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</row>
    <row r="929">
      <c r="A929" s="152"/>
      <c r="B929" s="152"/>
      <c r="C929" s="152"/>
      <c r="D929" s="152"/>
      <c r="E929" s="152"/>
      <c r="F929" s="152"/>
      <c r="G929" s="152"/>
      <c r="H929" s="152"/>
      <c r="I929" s="152"/>
      <c r="J929" s="152"/>
      <c r="K929" s="152"/>
      <c r="L929" s="152"/>
      <c r="M929" s="152"/>
      <c r="N929" s="152"/>
      <c r="O929" s="152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</row>
    <row r="930">
      <c r="A930" s="152"/>
      <c r="B930" s="152"/>
      <c r="C930" s="152"/>
      <c r="D930" s="152"/>
      <c r="E930" s="152"/>
      <c r="F930" s="152"/>
      <c r="G930" s="152"/>
      <c r="H930" s="152"/>
      <c r="I930" s="152"/>
      <c r="J930" s="152"/>
      <c r="K930" s="152"/>
      <c r="L930" s="152"/>
      <c r="M930" s="152"/>
      <c r="N930" s="152"/>
      <c r="O930" s="152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</row>
    <row r="931">
      <c r="A931" s="152"/>
      <c r="B931" s="152"/>
      <c r="C931" s="152"/>
      <c r="D931" s="152"/>
      <c r="E931" s="152"/>
      <c r="F931" s="152"/>
      <c r="G931" s="152"/>
      <c r="H931" s="152"/>
      <c r="I931" s="152"/>
      <c r="J931" s="152"/>
      <c r="K931" s="152"/>
      <c r="L931" s="152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</row>
    <row r="932">
      <c r="A932" s="152"/>
      <c r="B932" s="152"/>
      <c r="C932" s="152"/>
      <c r="D932" s="152"/>
      <c r="E932" s="152"/>
      <c r="F932" s="152"/>
      <c r="G932" s="152"/>
      <c r="H932" s="152"/>
      <c r="I932" s="152"/>
      <c r="J932" s="152"/>
      <c r="K932" s="152"/>
      <c r="L932" s="152"/>
      <c r="M932" s="152"/>
      <c r="N932" s="152"/>
      <c r="O932" s="152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</row>
    <row r="933">
      <c r="A933" s="152"/>
      <c r="B933" s="152"/>
      <c r="C933" s="152"/>
      <c r="D933" s="152"/>
      <c r="E933" s="152"/>
      <c r="F933" s="152"/>
      <c r="G933" s="152"/>
      <c r="H933" s="152"/>
      <c r="I933" s="152"/>
      <c r="J933" s="152"/>
      <c r="K933" s="152"/>
      <c r="L933" s="152"/>
      <c r="M933" s="152"/>
      <c r="N933" s="152"/>
      <c r="O933" s="152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</row>
    <row r="934">
      <c r="A934" s="152"/>
      <c r="B934" s="152"/>
      <c r="C934" s="152"/>
      <c r="D934" s="152"/>
      <c r="E934" s="152"/>
      <c r="F934" s="152"/>
      <c r="G934" s="152"/>
      <c r="H934" s="152"/>
      <c r="I934" s="152"/>
      <c r="J934" s="152"/>
      <c r="K934" s="152"/>
      <c r="L934" s="152"/>
      <c r="M934" s="152"/>
      <c r="N934" s="152"/>
      <c r="O934" s="152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</row>
    <row r="935">
      <c r="A935" s="152"/>
      <c r="B935" s="152"/>
      <c r="C935" s="152"/>
      <c r="D935" s="152"/>
      <c r="E935" s="152"/>
      <c r="F935" s="152"/>
      <c r="G935" s="152"/>
      <c r="H935" s="152"/>
      <c r="I935" s="152"/>
      <c r="J935" s="152"/>
      <c r="K935" s="152"/>
      <c r="L935" s="152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</row>
    <row r="936">
      <c r="A936" s="152"/>
      <c r="B936" s="152"/>
      <c r="C936" s="152"/>
      <c r="D936" s="152"/>
      <c r="E936" s="152"/>
      <c r="F936" s="152"/>
      <c r="G936" s="152"/>
      <c r="H936" s="152"/>
      <c r="I936" s="152"/>
      <c r="J936" s="152"/>
      <c r="K936" s="152"/>
      <c r="L936" s="152"/>
      <c r="M936" s="152"/>
      <c r="N936" s="152"/>
      <c r="O936" s="152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</row>
    <row r="937">
      <c r="A937" s="152"/>
      <c r="B937" s="152"/>
      <c r="C937" s="152"/>
      <c r="D937" s="152"/>
      <c r="E937" s="152"/>
      <c r="F937" s="152"/>
      <c r="G937" s="152"/>
      <c r="H937" s="152"/>
      <c r="I937" s="152"/>
      <c r="J937" s="152"/>
      <c r="K937" s="152"/>
      <c r="L937" s="152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</row>
    <row r="938">
      <c r="A938" s="152"/>
      <c r="B938" s="152"/>
      <c r="C938" s="152"/>
      <c r="D938" s="152"/>
      <c r="E938" s="152"/>
      <c r="F938" s="152"/>
      <c r="G938" s="152"/>
      <c r="H938" s="152"/>
      <c r="I938" s="152"/>
      <c r="J938" s="152"/>
      <c r="K938" s="152"/>
      <c r="L938" s="152"/>
      <c r="M938" s="152"/>
      <c r="N938" s="152"/>
      <c r="O938" s="152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</row>
    <row r="939">
      <c r="A939" s="152"/>
      <c r="B939" s="152"/>
      <c r="C939" s="152"/>
      <c r="D939" s="152"/>
      <c r="E939" s="152"/>
      <c r="F939" s="152"/>
      <c r="G939" s="152"/>
      <c r="H939" s="152"/>
      <c r="I939" s="152"/>
      <c r="J939" s="152"/>
      <c r="K939" s="152"/>
      <c r="L939" s="152"/>
      <c r="M939" s="152"/>
      <c r="N939" s="152"/>
      <c r="O939" s="152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</row>
    <row r="940">
      <c r="A940" s="152"/>
      <c r="B940" s="152"/>
      <c r="C940" s="152"/>
      <c r="D940" s="152"/>
      <c r="E940" s="152"/>
      <c r="F940" s="152"/>
      <c r="G940" s="152"/>
      <c r="H940" s="152"/>
      <c r="I940" s="152"/>
      <c r="J940" s="152"/>
      <c r="K940" s="152"/>
      <c r="L940" s="152"/>
      <c r="M940" s="152"/>
      <c r="N940" s="152"/>
      <c r="O940" s="152"/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</row>
    <row r="941">
      <c r="A941" s="152"/>
      <c r="B941" s="152"/>
      <c r="C941" s="152"/>
      <c r="D941" s="152"/>
      <c r="E941" s="152"/>
      <c r="F941" s="152"/>
      <c r="G941" s="152"/>
      <c r="H941" s="152"/>
      <c r="I941" s="152"/>
      <c r="J941" s="152"/>
      <c r="K941" s="152"/>
      <c r="L941" s="152"/>
      <c r="M941" s="152"/>
      <c r="N941" s="152"/>
      <c r="O941" s="152"/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</row>
    <row r="942">
      <c r="A942" s="152"/>
      <c r="B942" s="152"/>
      <c r="C942" s="152"/>
      <c r="D942" s="152"/>
      <c r="E942" s="152"/>
      <c r="F942" s="152"/>
      <c r="G942" s="152"/>
      <c r="H942" s="152"/>
      <c r="I942" s="152"/>
      <c r="J942" s="152"/>
      <c r="K942" s="152"/>
      <c r="L942" s="152"/>
      <c r="M942" s="152"/>
      <c r="N942" s="152"/>
      <c r="O942" s="152"/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</row>
    <row r="943">
      <c r="A943" s="152"/>
      <c r="B943" s="152"/>
      <c r="C943" s="152"/>
      <c r="D943" s="152"/>
      <c r="E943" s="152"/>
      <c r="F943" s="152"/>
      <c r="G943" s="152"/>
      <c r="H943" s="152"/>
      <c r="I943" s="152"/>
      <c r="J943" s="152"/>
      <c r="K943" s="152"/>
      <c r="L943" s="152"/>
      <c r="M943" s="152"/>
      <c r="N943" s="152"/>
      <c r="O943" s="152"/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</row>
    <row r="944">
      <c r="A944" s="152"/>
      <c r="B944" s="152"/>
      <c r="C944" s="152"/>
      <c r="D944" s="152"/>
      <c r="E944" s="152"/>
      <c r="F944" s="152"/>
      <c r="G944" s="152"/>
      <c r="H944" s="152"/>
      <c r="I944" s="152"/>
      <c r="J944" s="152"/>
      <c r="K944" s="152"/>
      <c r="L944" s="152"/>
      <c r="M944" s="152"/>
      <c r="N944" s="152"/>
      <c r="O944" s="152"/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</row>
    <row r="945">
      <c r="A945" s="152"/>
      <c r="B945" s="152"/>
      <c r="C945" s="152"/>
      <c r="D945" s="152"/>
      <c r="E945" s="152"/>
      <c r="F945" s="152"/>
      <c r="G945" s="152"/>
      <c r="H945" s="152"/>
      <c r="I945" s="152"/>
      <c r="J945" s="152"/>
      <c r="K945" s="152"/>
      <c r="L945" s="152"/>
      <c r="M945" s="152"/>
      <c r="N945" s="152"/>
      <c r="O945" s="152"/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</row>
    <row r="946">
      <c r="A946" s="152"/>
      <c r="B946" s="152"/>
      <c r="C946" s="152"/>
      <c r="D946" s="152"/>
      <c r="E946" s="152"/>
      <c r="F946" s="152"/>
      <c r="G946" s="152"/>
      <c r="H946" s="152"/>
      <c r="I946" s="152"/>
      <c r="J946" s="152"/>
      <c r="K946" s="152"/>
      <c r="L946" s="152"/>
      <c r="M946" s="152"/>
      <c r="N946" s="152"/>
      <c r="O946" s="152"/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</row>
    <row r="947">
      <c r="A947" s="152"/>
      <c r="B947" s="152"/>
      <c r="C947" s="152"/>
      <c r="D947" s="152"/>
      <c r="E947" s="152"/>
      <c r="F947" s="152"/>
      <c r="G947" s="152"/>
      <c r="H947" s="152"/>
      <c r="I947" s="152"/>
      <c r="J947" s="152"/>
      <c r="K947" s="152"/>
      <c r="L947" s="152"/>
      <c r="M947" s="152"/>
      <c r="N947" s="152"/>
      <c r="O947" s="152"/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</row>
    <row r="948">
      <c r="A948" s="152"/>
      <c r="B948" s="152"/>
      <c r="C948" s="152"/>
      <c r="D948" s="152"/>
      <c r="E948" s="152"/>
      <c r="F948" s="152"/>
      <c r="G948" s="152"/>
      <c r="H948" s="152"/>
      <c r="I948" s="152"/>
      <c r="J948" s="152"/>
      <c r="K948" s="152"/>
      <c r="L948" s="152"/>
      <c r="M948" s="152"/>
      <c r="N948" s="152"/>
      <c r="O948" s="152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</row>
    <row r="949">
      <c r="A949" s="152"/>
      <c r="B949" s="152"/>
      <c r="C949" s="152"/>
      <c r="D949" s="152"/>
      <c r="E949" s="152"/>
      <c r="F949" s="152"/>
      <c r="G949" s="152"/>
      <c r="H949" s="152"/>
      <c r="I949" s="152"/>
      <c r="J949" s="152"/>
      <c r="K949" s="152"/>
      <c r="L949" s="152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</row>
    <row r="950">
      <c r="A950" s="152"/>
      <c r="B950" s="152"/>
      <c r="C950" s="152"/>
      <c r="D950" s="152"/>
      <c r="E950" s="152"/>
      <c r="F950" s="152"/>
      <c r="G950" s="152"/>
      <c r="H950" s="152"/>
      <c r="I950" s="152"/>
      <c r="J950" s="152"/>
      <c r="K950" s="152"/>
      <c r="L950" s="152"/>
      <c r="M950" s="152"/>
      <c r="N950" s="152"/>
      <c r="O950" s="152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</row>
    <row r="951">
      <c r="A951" s="152"/>
      <c r="B951" s="152"/>
      <c r="C951" s="152"/>
      <c r="D951" s="152"/>
      <c r="E951" s="152"/>
      <c r="F951" s="152"/>
      <c r="G951" s="152"/>
      <c r="H951" s="152"/>
      <c r="I951" s="152"/>
      <c r="J951" s="152"/>
      <c r="K951" s="152"/>
      <c r="L951" s="152"/>
      <c r="M951" s="152"/>
      <c r="N951" s="152"/>
      <c r="O951" s="152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</row>
    <row r="952">
      <c r="A952" s="152"/>
      <c r="B952" s="152"/>
      <c r="C952" s="152"/>
      <c r="D952" s="152"/>
      <c r="E952" s="152"/>
      <c r="F952" s="152"/>
      <c r="G952" s="152"/>
      <c r="H952" s="152"/>
      <c r="I952" s="152"/>
      <c r="J952" s="152"/>
      <c r="K952" s="152"/>
      <c r="L952" s="152"/>
      <c r="M952" s="152"/>
      <c r="N952" s="152"/>
      <c r="O952" s="152"/>
      <c r="P952" s="152"/>
      <c r="Q952" s="152"/>
      <c r="R952" s="152"/>
      <c r="S952" s="152"/>
      <c r="T952" s="152"/>
      <c r="U952" s="152"/>
      <c r="V952" s="152"/>
      <c r="W952" s="152"/>
      <c r="X952" s="152"/>
      <c r="Y952" s="152"/>
      <c r="Z952" s="152"/>
    </row>
    <row r="953">
      <c r="A953" s="152"/>
      <c r="B953" s="152"/>
      <c r="C953" s="152"/>
      <c r="D953" s="152"/>
      <c r="E953" s="152"/>
      <c r="F953" s="152"/>
      <c r="G953" s="152"/>
      <c r="H953" s="152"/>
      <c r="I953" s="152"/>
      <c r="J953" s="152"/>
      <c r="K953" s="152"/>
      <c r="L953" s="152"/>
      <c r="M953" s="152"/>
      <c r="N953" s="152"/>
      <c r="O953" s="152"/>
      <c r="P953" s="152"/>
      <c r="Q953" s="152"/>
      <c r="R953" s="152"/>
      <c r="S953" s="152"/>
      <c r="T953" s="152"/>
      <c r="U953" s="152"/>
      <c r="V953" s="152"/>
      <c r="W953" s="152"/>
      <c r="X953" s="152"/>
      <c r="Y953" s="152"/>
      <c r="Z953" s="152"/>
    </row>
    <row r="954">
      <c r="A954" s="152"/>
      <c r="B954" s="152"/>
      <c r="C954" s="152"/>
      <c r="D954" s="152"/>
      <c r="E954" s="152"/>
      <c r="F954" s="152"/>
      <c r="G954" s="152"/>
      <c r="H954" s="152"/>
      <c r="I954" s="152"/>
      <c r="J954" s="152"/>
      <c r="K954" s="152"/>
      <c r="L954" s="152"/>
      <c r="M954" s="152"/>
      <c r="N954" s="152"/>
      <c r="O954" s="152"/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</row>
    <row r="955">
      <c r="A955" s="152"/>
      <c r="B955" s="152"/>
      <c r="C955" s="152"/>
      <c r="D955" s="152"/>
      <c r="E955" s="152"/>
      <c r="F955" s="152"/>
      <c r="G955" s="152"/>
      <c r="H955" s="152"/>
      <c r="I955" s="152"/>
      <c r="J955" s="152"/>
      <c r="K955" s="152"/>
      <c r="L955" s="152"/>
      <c r="M955" s="152"/>
      <c r="N955" s="152"/>
      <c r="O955" s="152"/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</row>
    <row r="956">
      <c r="A956" s="152"/>
      <c r="B956" s="152"/>
      <c r="C956" s="152"/>
      <c r="D956" s="152"/>
      <c r="E956" s="152"/>
      <c r="F956" s="152"/>
      <c r="G956" s="152"/>
      <c r="H956" s="152"/>
      <c r="I956" s="152"/>
      <c r="J956" s="152"/>
      <c r="K956" s="152"/>
      <c r="L956" s="152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</row>
    <row r="957">
      <c r="A957" s="152"/>
      <c r="B957" s="152"/>
      <c r="C957" s="152"/>
      <c r="D957" s="152"/>
      <c r="E957" s="152"/>
      <c r="F957" s="152"/>
      <c r="G957" s="152"/>
      <c r="H957" s="152"/>
      <c r="I957" s="152"/>
      <c r="J957" s="152"/>
      <c r="K957" s="152"/>
      <c r="L957" s="152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</row>
    <row r="958">
      <c r="A958" s="152"/>
      <c r="B958" s="152"/>
      <c r="C958" s="152"/>
      <c r="D958" s="152"/>
      <c r="E958" s="152"/>
      <c r="F958" s="152"/>
      <c r="G958" s="152"/>
      <c r="H958" s="152"/>
      <c r="I958" s="152"/>
      <c r="J958" s="152"/>
      <c r="K958" s="152"/>
      <c r="L958" s="152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</row>
    <row r="959">
      <c r="A959" s="152"/>
      <c r="B959" s="152"/>
      <c r="C959" s="152"/>
      <c r="D959" s="152"/>
      <c r="E959" s="152"/>
      <c r="F959" s="152"/>
      <c r="G959" s="152"/>
      <c r="H959" s="152"/>
      <c r="I959" s="152"/>
      <c r="J959" s="152"/>
      <c r="K959" s="152"/>
      <c r="L959" s="152"/>
      <c r="M959" s="152"/>
      <c r="N959" s="152"/>
      <c r="O959" s="152"/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</row>
    <row r="960">
      <c r="A960" s="152"/>
      <c r="B960" s="152"/>
      <c r="C960" s="152"/>
      <c r="D960" s="152"/>
      <c r="E960" s="152"/>
      <c r="F960" s="152"/>
      <c r="G960" s="152"/>
      <c r="H960" s="152"/>
      <c r="I960" s="152"/>
      <c r="J960" s="152"/>
      <c r="K960" s="152"/>
      <c r="L960" s="152"/>
      <c r="M960" s="152"/>
      <c r="N960" s="152"/>
      <c r="O960" s="152"/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</row>
    <row r="961">
      <c r="A961" s="152"/>
      <c r="B961" s="152"/>
      <c r="C961" s="152"/>
      <c r="D961" s="152"/>
      <c r="E961" s="152"/>
      <c r="F961" s="152"/>
      <c r="G961" s="152"/>
      <c r="H961" s="152"/>
      <c r="I961" s="152"/>
      <c r="J961" s="152"/>
      <c r="K961" s="152"/>
      <c r="L961" s="152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</row>
    <row r="962">
      <c r="A962" s="152"/>
      <c r="B962" s="152"/>
      <c r="C962" s="152"/>
      <c r="D962" s="152"/>
      <c r="E962" s="152"/>
      <c r="F962" s="152"/>
      <c r="G962" s="152"/>
      <c r="H962" s="152"/>
      <c r="I962" s="152"/>
      <c r="J962" s="152"/>
      <c r="K962" s="152"/>
      <c r="L962" s="152"/>
      <c r="M962" s="152"/>
      <c r="N962" s="152"/>
      <c r="O962" s="152"/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</row>
    <row r="963">
      <c r="A963" s="152"/>
      <c r="B963" s="152"/>
      <c r="C963" s="152"/>
      <c r="D963" s="152"/>
      <c r="E963" s="152"/>
      <c r="F963" s="152"/>
      <c r="G963" s="152"/>
      <c r="H963" s="152"/>
      <c r="I963" s="152"/>
      <c r="J963" s="152"/>
      <c r="K963" s="152"/>
      <c r="L963" s="152"/>
      <c r="M963" s="152"/>
      <c r="N963" s="152"/>
      <c r="O963" s="152"/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</row>
    <row r="964">
      <c r="A964" s="152"/>
      <c r="B964" s="152"/>
      <c r="C964" s="152"/>
      <c r="D964" s="152"/>
      <c r="E964" s="152"/>
      <c r="F964" s="152"/>
      <c r="G964" s="152"/>
      <c r="H964" s="152"/>
      <c r="I964" s="152"/>
      <c r="J964" s="152"/>
      <c r="K964" s="152"/>
      <c r="L964" s="152"/>
      <c r="M964" s="152"/>
      <c r="N964" s="152"/>
      <c r="O964" s="152"/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</row>
    <row r="965">
      <c r="A965" s="152"/>
      <c r="B965" s="152"/>
      <c r="C965" s="152"/>
      <c r="D965" s="152"/>
      <c r="E965" s="152"/>
      <c r="F965" s="152"/>
      <c r="G965" s="152"/>
      <c r="H965" s="152"/>
      <c r="I965" s="152"/>
      <c r="J965" s="152"/>
      <c r="K965" s="152"/>
      <c r="L965" s="152"/>
      <c r="M965" s="152"/>
      <c r="N965" s="152"/>
      <c r="O965" s="152"/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</row>
    <row r="966">
      <c r="A966" s="152"/>
      <c r="B966" s="152"/>
      <c r="C966" s="152"/>
      <c r="D966" s="152"/>
      <c r="E966" s="152"/>
      <c r="F966" s="152"/>
      <c r="G966" s="152"/>
      <c r="H966" s="152"/>
      <c r="I966" s="152"/>
      <c r="J966" s="152"/>
      <c r="K966" s="152"/>
      <c r="L966" s="152"/>
      <c r="M966" s="152"/>
      <c r="N966" s="152"/>
      <c r="O966" s="152"/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</row>
    <row r="967">
      <c r="A967" s="152"/>
      <c r="B967" s="152"/>
      <c r="C967" s="152"/>
      <c r="D967" s="152"/>
      <c r="E967" s="152"/>
      <c r="F967" s="152"/>
      <c r="G967" s="152"/>
      <c r="H967" s="152"/>
      <c r="I967" s="152"/>
      <c r="J967" s="152"/>
      <c r="K967" s="152"/>
      <c r="L967" s="152"/>
      <c r="M967" s="152"/>
      <c r="N967" s="152"/>
      <c r="O967" s="152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</row>
    <row r="968">
      <c r="A968" s="152"/>
      <c r="B968" s="152"/>
      <c r="C968" s="152"/>
      <c r="D968" s="152"/>
      <c r="E968" s="152"/>
      <c r="F968" s="152"/>
      <c r="G968" s="152"/>
      <c r="H968" s="152"/>
      <c r="I968" s="152"/>
      <c r="J968" s="152"/>
      <c r="K968" s="152"/>
      <c r="L968" s="152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</row>
    <row r="969">
      <c r="A969" s="152"/>
      <c r="B969" s="152"/>
      <c r="C969" s="152"/>
      <c r="D969" s="152"/>
      <c r="E969" s="152"/>
      <c r="F969" s="152"/>
      <c r="G969" s="152"/>
      <c r="H969" s="152"/>
      <c r="I969" s="152"/>
      <c r="J969" s="152"/>
      <c r="K969" s="152"/>
      <c r="L969" s="152"/>
      <c r="M969" s="152"/>
      <c r="N969" s="152"/>
      <c r="O969" s="152"/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</row>
    <row r="970">
      <c r="A970" s="152"/>
      <c r="B970" s="152"/>
      <c r="C970" s="152"/>
      <c r="D970" s="152"/>
      <c r="E970" s="152"/>
      <c r="F970" s="152"/>
      <c r="G970" s="152"/>
      <c r="H970" s="152"/>
      <c r="I970" s="152"/>
      <c r="J970" s="152"/>
      <c r="K970" s="152"/>
      <c r="L970" s="152"/>
      <c r="M970" s="152"/>
      <c r="N970" s="152"/>
      <c r="O970" s="152"/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</row>
    <row r="971">
      <c r="A971" s="152"/>
      <c r="B971" s="152"/>
      <c r="C971" s="152"/>
      <c r="D971" s="152"/>
      <c r="E971" s="152"/>
      <c r="F971" s="152"/>
      <c r="G971" s="152"/>
      <c r="H971" s="152"/>
      <c r="I971" s="152"/>
      <c r="J971" s="152"/>
      <c r="K971" s="152"/>
      <c r="L971" s="152"/>
      <c r="M971" s="152"/>
      <c r="N971" s="152"/>
      <c r="O971" s="152"/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</row>
    <row r="972">
      <c r="A972" s="152"/>
      <c r="B972" s="152"/>
      <c r="C972" s="152"/>
      <c r="D972" s="152"/>
      <c r="E972" s="152"/>
      <c r="F972" s="152"/>
      <c r="G972" s="152"/>
      <c r="H972" s="152"/>
      <c r="I972" s="152"/>
      <c r="J972" s="152"/>
      <c r="K972" s="152"/>
      <c r="L972" s="152"/>
      <c r="M972" s="152"/>
      <c r="N972" s="152"/>
      <c r="O972" s="152"/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</row>
    <row r="973">
      <c r="A973" s="152"/>
      <c r="B973" s="152"/>
      <c r="C973" s="152"/>
      <c r="D973" s="152"/>
      <c r="E973" s="152"/>
      <c r="F973" s="152"/>
      <c r="G973" s="152"/>
      <c r="H973" s="152"/>
      <c r="I973" s="152"/>
      <c r="J973" s="152"/>
      <c r="K973" s="152"/>
      <c r="L973" s="152"/>
      <c r="M973" s="152"/>
      <c r="N973" s="152"/>
      <c r="O973" s="152"/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</row>
    <row r="974">
      <c r="A974" s="152"/>
      <c r="B974" s="152"/>
      <c r="C974" s="152"/>
      <c r="D974" s="152"/>
      <c r="E974" s="152"/>
      <c r="F974" s="152"/>
      <c r="G974" s="152"/>
      <c r="H974" s="152"/>
      <c r="I974" s="152"/>
      <c r="J974" s="152"/>
      <c r="K974" s="152"/>
      <c r="L974" s="152"/>
      <c r="M974" s="152"/>
      <c r="N974" s="152"/>
      <c r="O974" s="152"/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</row>
    <row r="975">
      <c r="A975" s="152"/>
      <c r="B975" s="152"/>
      <c r="C975" s="152"/>
      <c r="D975" s="152"/>
      <c r="E975" s="152"/>
      <c r="F975" s="152"/>
      <c r="G975" s="152"/>
      <c r="H975" s="152"/>
      <c r="I975" s="152"/>
      <c r="J975" s="152"/>
      <c r="K975" s="152"/>
      <c r="L975" s="152"/>
      <c r="M975" s="152"/>
      <c r="N975" s="152"/>
      <c r="O975" s="152"/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</row>
    <row r="976">
      <c r="A976" s="152"/>
      <c r="B976" s="152"/>
      <c r="C976" s="152"/>
      <c r="D976" s="152"/>
      <c r="E976" s="152"/>
      <c r="F976" s="152"/>
      <c r="G976" s="152"/>
      <c r="H976" s="152"/>
      <c r="I976" s="152"/>
      <c r="J976" s="152"/>
      <c r="K976" s="152"/>
      <c r="L976" s="152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</row>
    <row r="977">
      <c r="A977" s="152"/>
      <c r="B977" s="152"/>
      <c r="C977" s="152"/>
      <c r="D977" s="152"/>
      <c r="E977" s="152"/>
      <c r="F977" s="152"/>
      <c r="G977" s="152"/>
      <c r="H977" s="152"/>
      <c r="I977" s="152"/>
      <c r="J977" s="152"/>
      <c r="K977" s="152"/>
      <c r="L977" s="152"/>
      <c r="M977" s="152"/>
      <c r="N977" s="152"/>
      <c r="O977" s="152"/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</row>
    <row r="978">
      <c r="A978" s="152"/>
      <c r="B978" s="152"/>
      <c r="C978" s="152"/>
      <c r="D978" s="152"/>
      <c r="E978" s="152"/>
      <c r="F978" s="152"/>
      <c r="G978" s="152"/>
      <c r="H978" s="152"/>
      <c r="I978" s="152"/>
      <c r="J978" s="152"/>
      <c r="K978" s="152"/>
      <c r="L978" s="152"/>
      <c r="M978" s="152"/>
      <c r="N978" s="152"/>
      <c r="O978" s="152"/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</row>
    <row r="979">
      <c r="A979" s="152"/>
      <c r="B979" s="152"/>
      <c r="C979" s="152"/>
      <c r="D979" s="152"/>
      <c r="E979" s="152"/>
      <c r="F979" s="152"/>
      <c r="G979" s="152"/>
      <c r="H979" s="152"/>
      <c r="I979" s="152"/>
      <c r="J979" s="152"/>
      <c r="K979" s="152"/>
      <c r="L979" s="152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</row>
    <row r="980">
      <c r="A980" s="152"/>
      <c r="B980" s="152"/>
      <c r="C980" s="152"/>
      <c r="D980" s="152"/>
      <c r="E980" s="152"/>
      <c r="F980" s="152"/>
      <c r="G980" s="152"/>
      <c r="H980" s="152"/>
      <c r="I980" s="152"/>
      <c r="J980" s="152"/>
      <c r="K980" s="152"/>
      <c r="L980" s="152"/>
      <c r="M980" s="152"/>
      <c r="N980" s="152"/>
      <c r="O980" s="15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</row>
    <row r="981">
      <c r="A981" s="152"/>
      <c r="B981" s="152"/>
      <c r="C981" s="152"/>
      <c r="D981" s="152"/>
      <c r="E981" s="152"/>
      <c r="F981" s="152"/>
      <c r="G981" s="152"/>
      <c r="H981" s="152"/>
      <c r="I981" s="152"/>
      <c r="J981" s="152"/>
      <c r="K981" s="152"/>
      <c r="L981" s="152"/>
      <c r="M981" s="152"/>
      <c r="N981" s="152"/>
      <c r="O981" s="152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</row>
    <row r="982">
      <c r="A982" s="152"/>
      <c r="B982" s="152"/>
      <c r="C982" s="152"/>
      <c r="D982" s="152"/>
      <c r="E982" s="152"/>
      <c r="F982" s="152"/>
      <c r="G982" s="152"/>
      <c r="H982" s="152"/>
      <c r="I982" s="152"/>
      <c r="J982" s="152"/>
      <c r="K982" s="152"/>
      <c r="L982" s="152"/>
      <c r="M982" s="152"/>
      <c r="N982" s="152"/>
      <c r="O982" s="152"/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</row>
    <row r="983">
      <c r="A983" s="152"/>
      <c r="B983" s="152"/>
      <c r="C983" s="152"/>
      <c r="D983" s="152"/>
      <c r="E983" s="152"/>
      <c r="F983" s="152"/>
      <c r="G983" s="152"/>
      <c r="H983" s="152"/>
      <c r="I983" s="152"/>
      <c r="J983" s="152"/>
      <c r="K983" s="152"/>
      <c r="L983" s="152"/>
      <c r="M983" s="152"/>
      <c r="N983" s="152"/>
      <c r="O983" s="152"/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</row>
    <row r="984">
      <c r="A984" s="152"/>
      <c r="B984" s="152"/>
      <c r="C984" s="152"/>
      <c r="D984" s="152"/>
      <c r="E984" s="152"/>
      <c r="F984" s="152"/>
      <c r="G984" s="152"/>
      <c r="H984" s="152"/>
      <c r="I984" s="152"/>
      <c r="J984" s="152"/>
      <c r="K984" s="152"/>
      <c r="L984" s="152"/>
      <c r="M984" s="152"/>
      <c r="N984" s="152"/>
      <c r="O984" s="152"/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</row>
    <row r="985">
      <c r="A985" s="152"/>
      <c r="B985" s="152"/>
      <c r="C985" s="152"/>
      <c r="D985" s="152"/>
      <c r="E985" s="152"/>
      <c r="F985" s="152"/>
      <c r="G985" s="152"/>
      <c r="H985" s="152"/>
      <c r="I985" s="152"/>
      <c r="J985" s="152"/>
      <c r="K985" s="152"/>
      <c r="L985" s="152"/>
      <c r="M985" s="152"/>
      <c r="N985" s="152"/>
      <c r="O985" s="152"/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</row>
    <row r="986">
      <c r="A986" s="152"/>
      <c r="B986" s="152"/>
      <c r="C986" s="152"/>
      <c r="D986" s="152"/>
      <c r="E986" s="152"/>
      <c r="F986" s="152"/>
      <c r="G986" s="152"/>
      <c r="H986" s="152"/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</row>
    <row r="987">
      <c r="A987" s="152"/>
      <c r="B987" s="152"/>
      <c r="C987" s="152"/>
      <c r="D987" s="152"/>
      <c r="E987" s="152"/>
      <c r="F987" s="152"/>
      <c r="G987" s="152"/>
      <c r="H987" s="152"/>
      <c r="I987" s="152"/>
      <c r="J987" s="152"/>
      <c r="K987" s="152"/>
      <c r="L987" s="152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</row>
    <row r="988">
      <c r="A988" s="152"/>
      <c r="B988" s="152"/>
      <c r="C988" s="152"/>
      <c r="D988" s="152"/>
      <c r="E988" s="152"/>
      <c r="F988" s="152"/>
      <c r="G988" s="152"/>
      <c r="H988" s="152"/>
      <c r="I988" s="152"/>
      <c r="J988" s="152"/>
      <c r="K988" s="152"/>
      <c r="L988" s="152"/>
      <c r="M988" s="152"/>
      <c r="N988" s="152"/>
      <c r="O988" s="152"/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</row>
    <row r="989">
      <c r="A989" s="152"/>
      <c r="B989" s="152"/>
      <c r="C989" s="152"/>
      <c r="D989" s="152"/>
      <c r="E989" s="152"/>
      <c r="F989" s="152"/>
      <c r="G989" s="152"/>
      <c r="H989" s="152"/>
      <c r="I989" s="152"/>
      <c r="J989" s="152"/>
      <c r="K989" s="152"/>
      <c r="L989" s="152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</row>
    <row r="990">
      <c r="A990" s="152"/>
      <c r="B990" s="152"/>
      <c r="C990" s="152"/>
      <c r="D990" s="152"/>
      <c r="E990" s="152"/>
      <c r="F990" s="152"/>
      <c r="G990" s="152"/>
      <c r="H990" s="152"/>
      <c r="I990" s="152"/>
      <c r="J990" s="152"/>
      <c r="K990" s="152"/>
      <c r="L990" s="152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</row>
    <row r="991">
      <c r="A991" s="152"/>
      <c r="B991" s="152"/>
      <c r="C991" s="152"/>
      <c r="D991" s="152"/>
      <c r="E991" s="152"/>
      <c r="F991" s="152"/>
      <c r="G991" s="152"/>
      <c r="H991" s="152"/>
      <c r="I991" s="152"/>
      <c r="J991" s="152"/>
      <c r="K991" s="152"/>
      <c r="L991" s="152"/>
      <c r="M991" s="152"/>
      <c r="N991" s="152"/>
      <c r="O991" s="152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</row>
    <row r="992">
      <c r="A992" s="152"/>
      <c r="B992" s="152"/>
      <c r="C992" s="152"/>
      <c r="D992" s="152"/>
      <c r="E992" s="152"/>
      <c r="F992" s="152"/>
      <c r="G992" s="152"/>
      <c r="H992" s="152"/>
      <c r="I992" s="152"/>
      <c r="J992" s="152"/>
      <c r="K992" s="152"/>
      <c r="L992" s="152"/>
      <c r="M992" s="152"/>
      <c r="N992" s="152"/>
      <c r="O992" s="152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</row>
    <row r="993">
      <c r="A993" s="152"/>
      <c r="B993" s="152"/>
      <c r="C993" s="152"/>
      <c r="D993" s="152"/>
      <c r="E993" s="152"/>
      <c r="F993" s="152"/>
      <c r="G993" s="152"/>
      <c r="H993" s="152"/>
      <c r="I993" s="152"/>
      <c r="J993" s="152"/>
      <c r="K993" s="152"/>
      <c r="L993" s="152"/>
      <c r="M993" s="152"/>
      <c r="N993" s="152"/>
      <c r="O993" s="152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</row>
    <row r="994">
      <c r="A994" s="152"/>
      <c r="B994" s="152"/>
      <c r="C994" s="152"/>
      <c r="D994" s="152"/>
      <c r="E994" s="152"/>
      <c r="F994" s="152"/>
      <c r="G994" s="152"/>
      <c r="H994" s="152"/>
      <c r="I994" s="152"/>
      <c r="J994" s="152"/>
      <c r="K994" s="152"/>
      <c r="L994" s="152"/>
      <c r="M994" s="152"/>
      <c r="N994" s="152"/>
      <c r="O994" s="152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</row>
    <row r="995">
      <c r="A995" s="152"/>
      <c r="B995" s="152"/>
      <c r="C995" s="152"/>
      <c r="D995" s="152"/>
      <c r="E995" s="152"/>
      <c r="F995" s="152"/>
      <c r="G995" s="152"/>
      <c r="H995" s="152"/>
      <c r="I995" s="152"/>
      <c r="J995" s="152"/>
      <c r="K995" s="152"/>
      <c r="L995" s="152"/>
      <c r="M995" s="152"/>
      <c r="N995" s="152"/>
      <c r="O995" s="152"/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</row>
    <row r="996">
      <c r="A996" s="152"/>
      <c r="B996" s="152"/>
      <c r="C996" s="152"/>
      <c r="D996" s="152"/>
      <c r="E996" s="152"/>
      <c r="F996" s="152"/>
      <c r="G996" s="152"/>
      <c r="H996" s="152"/>
      <c r="I996" s="152"/>
      <c r="J996" s="152"/>
      <c r="K996" s="152"/>
      <c r="L996" s="152"/>
      <c r="M996" s="152"/>
      <c r="N996" s="152"/>
      <c r="O996" s="152"/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</row>
    <row r="997">
      <c r="A997" s="152"/>
      <c r="B997" s="152"/>
      <c r="C997" s="152"/>
      <c r="D997" s="152"/>
      <c r="E997" s="152"/>
      <c r="F997" s="152"/>
      <c r="G997" s="152"/>
      <c r="H997" s="152"/>
      <c r="I997" s="152"/>
      <c r="J997" s="152"/>
      <c r="K997" s="152"/>
      <c r="L997" s="152"/>
      <c r="M997" s="152"/>
      <c r="N997" s="152"/>
      <c r="O997" s="152"/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</row>
    <row r="998">
      <c r="A998" s="152"/>
      <c r="B998" s="152"/>
      <c r="C998" s="152"/>
      <c r="D998" s="152"/>
      <c r="E998" s="152"/>
      <c r="F998" s="152"/>
      <c r="G998" s="152"/>
      <c r="H998" s="152"/>
      <c r="I998" s="152"/>
      <c r="J998" s="152"/>
      <c r="K998" s="152"/>
      <c r="L998" s="152"/>
      <c r="M998" s="152"/>
      <c r="N998" s="152"/>
      <c r="O998" s="152"/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</row>
    <row r="999">
      <c r="A999" s="152"/>
      <c r="B999" s="152"/>
      <c r="C999" s="152"/>
      <c r="D999" s="152"/>
      <c r="E999" s="152"/>
      <c r="F999" s="152"/>
      <c r="G999" s="152"/>
      <c r="H999" s="152"/>
      <c r="I999" s="152"/>
      <c r="J999" s="152"/>
      <c r="K999" s="152"/>
      <c r="L999" s="152"/>
      <c r="M999" s="152"/>
      <c r="N999" s="152"/>
      <c r="O999" s="152"/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</row>
    <row r="1000">
      <c r="A1000" s="152"/>
      <c r="B1000" s="152"/>
      <c r="C1000" s="152"/>
      <c r="D1000" s="152"/>
      <c r="E1000" s="152"/>
      <c r="F1000" s="152"/>
      <c r="G1000" s="152"/>
      <c r="H1000" s="152"/>
      <c r="I1000" s="152"/>
      <c r="J1000" s="152"/>
      <c r="K1000" s="152"/>
      <c r="L1000" s="152"/>
      <c r="M1000" s="152"/>
      <c r="N1000" s="152"/>
      <c r="O1000" s="152"/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7.43"/>
    <col customWidth="1" min="3" max="3" width="9.14"/>
    <col customWidth="1" min="4" max="4" width="9.29"/>
    <col customWidth="1" min="5" max="5" width="8.0"/>
    <col customWidth="1" min="6" max="6" width="20.86"/>
    <col customWidth="1" min="10" max="10" width="6.29"/>
    <col customWidth="1" min="12" max="12" width="26.0"/>
    <col customWidth="1" min="13" max="13" width="26.29"/>
  </cols>
  <sheetData>
    <row r="1">
      <c r="A1" s="161" t="s">
        <v>0</v>
      </c>
      <c r="B1" s="161" t="s">
        <v>6665</v>
      </c>
      <c r="C1" s="161" t="s">
        <v>2</v>
      </c>
      <c r="D1" s="161" t="s">
        <v>3</v>
      </c>
      <c r="E1" s="161" t="s">
        <v>4</v>
      </c>
      <c r="F1" s="150" t="s">
        <v>6666</v>
      </c>
      <c r="G1" s="150" t="s">
        <v>6667</v>
      </c>
      <c r="H1" s="150" t="s">
        <v>14</v>
      </c>
      <c r="I1" s="150" t="s">
        <v>8</v>
      </c>
      <c r="J1" s="150" t="s">
        <v>17</v>
      </c>
      <c r="K1" s="150" t="s">
        <v>6668</v>
      </c>
      <c r="L1" s="150" t="s">
        <v>6669</v>
      </c>
      <c r="M1" s="150" t="s">
        <v>6670</v>
      </c>
    </row>
    <row r="2">
      <c r="A2" s="162">
        <v>66318.0</v>
      </c>
      <c r="B2" s="163" t="s">
        <v>6888</v>
      </c>
      <c r="C2" s="163"/>
      <c r="D2" s="163"/>
      <c r="E2" s="163"/>
      <c r="F2" s="153"/>
      <c r="G2" s="153"/>
      <c r="H2" s="153"/>
      <c r="I2" s="153"/>
      <c r="J2" s="164" t="s">
        <v>6889</v>
      </c>
      <c r="K2" s="153"/>
      <c r="L2" s="165" t="s">
        <v>6890</v>
      </c>
      <c r="M2" s="153" t="s">
        <v>6891</v>
      </c>
    </row>
    <row r="3">
      <c r="A3" s="162">
        <v>66141.0</v>
      </c>
      <c r="B3" s="163" t="s">
        <v>6892</v>
      </c>
      <c r="C3" s="163"/>
      <c r="D3" s="163"/>
      <c r="E3" s="163"/>
      <c r="F3" s="153"/>
      <c r="G3" s="153"/>
      <c r="H3" s="153"/>
      <c r="I3" s="153"/>
      <c r="J3" s="164" t="s">
        <v>6893</v>
      </c>
      <c r="K3" s="153"/>
      <c r="L3" s="165" t="s">
        <v>6894</v>
      </c>
      <c r="M3" s="153" t="s">
        <v>6895</v>
      </c>
    </row>
    <row r="4">
      <c r="A4" s="162">
        <v>66158.0</v>
      </c>
      <c r="B4" s="163" t="s">
        <v>6896</v>
      </c>
      <c r="C4" s="163"/>
      <c r="D4" s="163"/>
      <c r="E4" s="163"/>
      <c r="F4" s="153"/>
      <c r="G4" s="153"/>
      <c r="H4" s="153"/>
      <c r="I4" s="153"/>
      <c r="J4" s="164" t="s">
        <v>6897</v>
      </c>
      <c r="K4" s="153"/>
      <c r="L4" s="165" t="s">
        <v>6898</v>
      </c>
      <c r="M4" s="153" t="s">
        <v>6899</v>
      </c>
    </row>
    <row r="5">
      <c r="A5" s="162">
        <v>178707.0</v>
      </c>
      <c r="B5" s="163" t="s">
        <v>6900</v>
      </c>
      <c r="C5" s="163"/>
      <c r="D5" s="163"/>
      <c r="E5" s="163"/>
      <c r="F5" s="153"/>
      <c r="G5" s="153"/>
      <c r="H5" s="153"/>
      <c r="I5" s="153"/>
      <c r="J5" s="164" t="s">
        <v>6901</v>
      </c>
      <c r="K5" s="153"/>
      <c r="L5" s="165" t="s">
        <v>6902</v>
      </c>
      <c r="M5" s="153" t="s">
        <v>6903</v>
      </c>
    </row>
    <row r="6">
      <c r="A6" s="162">
        <v>7.290112494238E12</v>
      </c>
      <c r="B6" s="163" t="s">
        <v>6904</v>
      </c>
      <c r="C6" s="163"/>
      <c r="D6" s="163"/>
      <c r="E6" s="163"/>
      <c r="F6" s="153"/>
      <c r="G6" s="153"/>
      <c r="H6" s="153"/>
      <c r="I6" s="153"/>
      <c r="J6" s="164" t="s">
        <v>6905</v>
      </c>
      <c r="K6" s="153"/>
      <c r="L6" s="165" t="s">
        <v>6906</v>
      </c>
      <c r="M6" s="153" t="s">
        <v>6907</v>
      </c>
    </row>
    <row r="7">
      <c r="A7" s="162">
        <v>7.290112494276E12</v>
      </c>
      <c r="B7" s="163" t="s">
        <v>6908</v>
      </c>
      <c r="C7" s="163"/>
      <c r="D7" s="163"/>
      <c r="E7" s="163"/>
      <c r="F7" s="153"/>
      <c r="G7" s="153"/>
      <c r="H7" s="153"/>
      <c r="I7" s="153"/>
      <c r="J7" s="164" t="s">
        <v>6905</v>
      </c>
      <c r="K7" s="153"/>
      <c r="L7" s="165" t="s">
        <v>6909</v>
      </c>
      <c r="M7" s="153" t="s">
        <v>6910</v>
      </c>
    </row>
    <row r="8">
      <c r="A8" s="162">
        <v>7.290112494221E12</v>
      </c>
      <c r="B8" s="163" t="s">
        <v>6911</v>
      </c>
      <c r="C8" s="163"/>
      <c r="D8" s="163"/>
      <c r="E8" s="163"/>
      <c r="F8" s="153"/>
      <c r="G8" s="153"/>
      <c r="H8" s="153"/>
      <c r="I8" s="153"/>
      <c r="J8" s="164" t="s">
        <v>6905</v>
      </c>
      <c r="K8" s="153"/>
      <c r="L8" s="165" t="s">
        <v>6912</v>
      </c>
      <c r="M8" s="153" t="s">
        <v>6913</v>
      </c>
    </row>
    <row r="9">
      <c r="A9" s="163">
        <v>170053.0</v>
      </c>
      <c r="B9" s="163" t="s">
        <v>6914</v>
      </c>
      <c r="C9" s="163"/>
      <c r="D9" s="163"/>
      <c r="E9" s="163"/>
      <c r="F9" s="153"/>
      <c r="G9" s="153"/>
      <c r="H9" s="153"/>
      <c r="I9" s="153"/>
      <c r="J9" s="164" t="s">
        <v>6915</v>
      </c>
      <c r="K9" s="153"/>
      <c r="L9" s="165" t="s">
        <v>6916</v>
      </c>
      <c r="M9" s="153" t="s">
        <v>6917</v>
      </c>
    </row>
    <row r="10">
      <c r="A10" s="163">
        <v>3905331.0</v>
      </c>
      <c r="B10" s="163" t="s">
        <v>6918</v>
      </c>
      <c r="C10" s="163"/>
      <c r="D10" s="163"/>
      <c r="E10" s="163"/>
      <c r="F10" s="153"/>
      <c r="G10" s="153"/>
      <c r="H10" s="153"/>
      <c r="I10" s="153"/>
      <c r="J10" s="164" t="s">
        <v>6915</v>
      </c>
      <c r="K10" s="153"/>
      <c r="L10" s="165" t="s">
        <v>6919</v>
      </c>
      <c r="M10" s="153" t="s">
        <v>6920</v>
      </c>
    </row>
    <row r="11">
      <c r="A11" s="166">
        <v>170077.0</v>
      </c>
      <c r="B11" s="163" t="s">
        <v>6921</v>
      </c>
      <c r="C11" s="163"/>
      <c r="D11" s="163"/>
      <c r="E11" s="163"/>
      <c r="F11" s="153"/>
      <c r="G11" s="153"/>
      <c r="H11" s="153"/>
      <c r="I11" s="153"/>
      <c r="J11" s="164" t="s">
        <v>6915</v>
      </c>
      <c r="K11" s="153"/>
      <c r="L11" s="165" t="s">
        <v>6922</v>
      </c>
      <c r="M11" s="153" t="s">
        <v>6923</v>
      </c>
    </row>
    <row r="12">
      <c r="A12" s="166">
        <v>8.000380004911E12</v>
      </c>
      <c r="B12" s="163" t="s">
        <v>6924</v>
      </c>
      <c r="C12" s="163"/>
      <c r="D12" s="163"/>
      <c r="E12" s="163"/>
      <c r="F12" s="153"/>
      <c r="G12" s="153"/>
      <c r="H12" s="153"/>
      <c r="I12" s="153"/>
      <c r="J12" s="164" t="s">
        <v>6925</v>
      </c>
      <c r="K12" s="153"/>
      <c r="L12" s="165" t="s">
        <v>6926</v>
      </c>
      <c r="M12" s="153" t="s">
        <v>6927</v>
      </c>
    </row>
    <row r="13">
      <c r="A13" s="162">
        <v>8.000380004966E12</v>
      </c>
      <c r="B13" s="163" t="s">
        <v>6928</v>
      </c>
      <c r="C13" s="163"/>
      <c r="D13" s="163"/>
      <c r="E13" s="163"/>
      <c r="F13" s="153"/>
      <c r="G13" s="153"/>
      <c r="H13" s="153"/>
      <c r="I13" s="153"/>
      <c r="J13" s="164" t="s">
        <v>6925</v>
      </c>
      <c r="K13" s="153"/>
      <c r="L13" s="165" t="s">
        <v>6929</v>
      </c>
      <c r="M13" s="153" t="s">
        <v>6930</v>
      </c>
    </row>
    <row r="14">
      <c r="A14" s="162">
        <v>8775816.0</v>
      </c>
      <c r="B14" s="163" t="s">
        <v>6931</v>
      </c>
      <c r="C14" s="163"/>
      <c r="D14" s="163"/>
      <c r="E14" s="163"/>
      <c r="F14" s="153"/>
      <c r="G14" s="153"/>
      <c r="H14" s="153"/>
      <c r="I14" s="153"/>
      <c r="J14" s="164" t="s">
        <v>6932</v>
      </c>
      <c r="K14" s="153"/>
      <c r="L14" s="165" t="s">
        <v>6933</v>
      </c>
      <c r="M14" s="153" t="s">
        <v>6934</v>
      </c>
    </row>
    <row r="15">
      <c r="A15" s="166">
        <v>8775823.0</v>
      </c>
      <c r="B15" s="163" t="s">
        <v>6935</v>
      </c>
      <c r="C15" s="163"/>
      <c r="D15" s="163"/>
      <c r="E15" s="163"/>
      <c r="F15" s="153"/>
      <c r="G15" s="153"/>
      <c r="H15" s="153"/>
      <c r="I15" s="153"/>
      <c r="J15" s="164" t="s">
        <v>6932</v>
      </c>
      <c r="K15" s="153"/>
      <c r="L15" s="165" t="s">
        <v>6936</v>
      </c>
      <c r="M15" s="153" t="s">
        <v>6937</v>
      </c>
    </row>
    <row r="16">
      <c r="A16" s="166">
        <v>7.290002331162E12</v>
      </c>
      <c r="B16" s="163" t="s">
        <v>6938</v>
      </c>
      <c r="C16" s="163"/>
      <c r="D16" s="163"/>
      <c r="E16" s="163"/>
      <c r="F16" s="153"/>
      <c r="G16" s="153"/>
      <c r="H16" s="153"/>
      <c r="I16" s="153"/>
      <c r="J16" s="164" t="s">
        <v>6939</v>
      </c>
      <c r="K16" s="153"/>
      <c r="L16" s="165" t="s">
        <v>6940</v>
      </c>
      <c r="M16" s="153" t="s">
        <v>6941</v>
      </c>
    </row>
    <row r="17">
      <c r="A17" s="162">
        <v>7.290011018283E12</v>
      </c>
      <c r="B17" s="163" t="s">
        <v>6942</v>
      </c>
      <c r="C17" s="163"/>
      <c r="D17" s="163"/>
      <c r="E17" s="163"/>
      <c r="F17" s="153"/>
      <c r="G17" s="153"/>
      <c r="H17" s="153"/>
      <c r="I17" s="153"/>
      <c r="J17" s="164" t="s">
        <v>6939</v>
      </c>
      <c r="K17" s="153"/>
      <c r="L17" s="165" t="s">
        <v>6943</v>
      </c>
      <c r="M17" s="153" t="s">
        <v>6944</v>
      </c>
    </row>
    <row r="18">
      <c r="A18" s="166">
        <v>7.29000890986E12</v>
      </c>
      <c r="B18" s="163" t="s">
        <v>6945</v>
      </c>
      <c r="C18" s="163"/>
      <c r="D18" s="163"/>
      <c r="E18" s="163"/>
      <c r="F18" s="153"/>
      <c r="G18" s="153"/>
      <c r="H18" s="153"/>
      <c r="I18" s="153"/>
      <c r="J18" s="164" t="s">
        <v>6939</v>
      </c>
      <c r="K18" s="153"/>
      <c r="L18" s="165" t="s">
        <v>6946</v>
      </c>
      <c r="M18" s="153" t="s">
        <v>6947</v>
      </c>
    </row>
    <row r="19">
      <c r="A19" s="166">
        <v>7.290000284316E12</v>
      </c>
      <c r="B19" s="163" t="s">
        <v>6948</v>
      </c>
      <c r="C19" s="163"/>
      <c r="D19" s="163"/>
      <c r="E19" s="163"/>
      <c r="F19" s="153"/>
      <c r="G19" s="153"/>
      <c r="H19" s="153"/>
      <c r="I19" s="153"/>
      <c r="J19" s="164" t="s">
        <v>6939</v>
      </c>
      <c r="K19" s="153"/>
      <c r="L19" s="165" t="s">
        <v>6949</v>
      </c>
      <c r="M19" s="153" t="s">
        <v>6950</v>
      </c>
    </row>
    <row r="20">
      <c r="B20" s="63"/>
    </row>
    <row r="21">
      <c r="B21" s="63"/>
    </row>
    <row r="22">
      <c r="B22" s="63"/>
    </row>
    <row r="23">
      <c r="B23" s="63"/>
    </row>
    <row r="24">
      <c r="B24" s="63"/>
    </row>
    <row r="25">
      <c r="B25" s="63"/>
    </row>
    <row r="26">
      <c r="B26" s="63"/>
    </row>
    <row r="27">
      <c r="B27" s="63"/>
    </row>
    <row r="28">
      <c r="B28" s="63"/>
    </row>
    <row r="29">
      <c r="B29" s="63"/>
    </row>
    <row r="30">
      <c r="B30" s="63"/>
    </row>
    <row r="31">
      <c r="B31" s="63"/>
    </row>
    <row r="32">
      <c r="B32" s="63"/>
    </row>
    <row r="33">
      <c r="B33" s="63"/>
    </row>
    <row r="34">
      <c r="B34" s="63"/>
    </row>
    <row r="35">
      <c r="B35" s="63"/>
    </row>
    <row r="36">
      <c r="B36" s="63"/>
    </row>
    <row r="37">
      <c r="B37" s="63"/>
    </row>
    <row r="38">
      <c r="B38" s="63"/>
    </row>
    <row r="39">
      <c r="B39" s="63"/>
    </row>
    <row r="40">
      <c r="B40" s="63"/>
    </row>
    <row r="41">
      <c r="B41" s="63"/>
    </row>
    <row r="42">
      <c r="B42" s="63"/>
    </row>
    <row r="43">
      <c r="B43" s="63"/>
    </row>
    <row r="44">
      <c r="B44" s="63"/>
    </row>
    <row r="45">
      <c r="B45" s="63"/>
    </row>
    <row r="46">
      <c r="B46" s="63"/>
    </row>
    <row r="47">
      <c r="B47" s="63"/>
    </row>
    <row r="48">
      <c r="B48" s="63"/>
    </row>
    <row r="49">
      <c r="B49" s="63"/>
    </row>
    <row r="50">
      <c r="B50" s="63"/>
    </row>
    <row r="51">
      <c r="B51" s="63"/>
    </row>
    <row r="52">
      <c r="B52" s="63"/>
    </row>
    <row r="53">
      <c r="B53" s="63"/>
    </row>
    <row r="54">
      <c r="B54" s="63"/>
    </row>
    <row r="55">
      <c r="B55" s="63"/>
    </row>
    <row r="56">
      <c r="B56" s="63"/>
    </row>
    <row r="57">
      <c r="B57" s="63"/>
    </row>
    <row r="58">
      <c r="B58" s="63"/>
    </row>
    <row r="59">
      <c r="B59" s="63"/>
    </row>
    <row r="60">
      <c r="B60" s="63"/>
    </row>
    <row r="61">
      <c r="B61" s="63"/>
    </row>
    <row r="62">
      <c r="B62" s="63"/>
    </row>
    <row r="63">
      <c r="B63" s="63"/>
    </row>
    <row r="64">
      <c r="B64" s="63"/>
    </row>
    <row r="65">
      <c r="B65" s="63"/>
    </row>
    <row r="66">
      <c r="B66" s="63"/>
    </row>
    <row r="67">
      <c r="B67" s="63"/>
    </row>
    <row r="68">
      <c r="B68" s="63"/>
    </row>
    <row r="69">
      <c r="B69" s="63"/>
    </row>
    <row r="70">
      <c r="B70" s="63"/>
    </row>
    <row r="71">
      <c r="B71" s="63"/>
    </row>
    <row r="72">
      <c r="B72" s="63"/>
    </row>
    <row r="73">
      <c r="B73" s="63"/>
    </row>
    <row r="74">
      <c r="B74" s="63"/>
    </row>
    <row r="75">
      <c r="B75" s="63"/>
    </row>
    <row r="76">
      <c r="B76" s="63"/>
    </row>
    <row r="77">
      <c r="B77" s="63"/>
    </row>
    <row r="78">
      <c r="B78" s="63"/>
    </row>
    <row r="79">
      <c r="B79" s="63"/>
    </row>
    <row r="80">
      <c r="B80" s="63"/>
    </row>
    <row r="81">
      <c r="B81" s="63"/>
    </row>
    <row r="82">
      <c r="B82" s="63"/>
    </row>
    <row r="83">
      <c r="B83" s="63"/>
    </row>
    <row r="84">
      <c r="B84" s="63"/>
    </row>
    <row r="85">
      <c r="B85" s="63"/>
    </row>
    <row r="86">
      <c r="B86" s="63"/>
    </row>
    <row r="87">
      <c r="B87" s="63"/>
    </row>
    <row r="88">
      <c r="B88" s="63"/>
    </row>
    <row r="89">
      <c r="B89" s="63"/>
    </row>
    <row r="90">
      <c r="B90" s="63"/>
    </row>
    <row r="91">
      <c r="B91" s="63"/>
    </row>
    <row r="92">
      <c r="B92" s="63"/>
    </row>
    <row r="93">
      <c r="B93" s="63"/>
    </row>
    <row r="94">
      <c r="B94" s="63"/>
    </row>
    <row r="95">
      <c r="B95" s="63"/>
    </row>
    <row r="96">
      <c r="B96" s="63"/>
    </row>
    <row r="97">
      <c r="B97" s="63"/>
    </row>
    <row r="98">
      <c r="B98" s="63"/>
    </row>
    <row r="99">
      <c r="B99" s="63"/>
    </row>
    <row r="100">
      <c r="B100" s="63"/>
    </row>
    <row r="101">
      <c r="B101" s="63"/>
    </row>
    <row r="102">
      <c r="B102" s="63"/>
    </row>
    <row r="103">
      <c r="B103" s="63"/>
    </row>
    <row r="104">
      <c r="B104" s="63"/>
    </row>
    <row r="105">
      <c r="B105" s="63"/>
    </row>
    <row r="106">
      <c r="B106" s="63"/>
    </row>
    <row r="107">
      <c r="B107" s="63"/>
    </row>
    <row r="108">
      <c r="B108" s="63"/>
    </row>
    <row r="109">
      <c r="B109" s="63"/>
    </row>
    <row r="110">
      <c r="B110" s="63"/>
    </row>
    <row r="111">
      <c r="B111" s="63"/>
    </row>
    <row r="112">
      <c r="B112" s="63"/>
    </row>
    <row r="113">
      <c r="B113" s="63"/>
    </row>
    <row r="114">
      <c r="B114" s="63"/>
    </row>
    <row r="115">
      <c r="B115" s="63"/>
    </row>
    <row r="116">
      <c r="B116" s="63"/>
    </row>
    <row r="117">
      <c r="B117" s="63"/>
    </row>
    <row r="118">
      <c r="B118" s="63"/>
    </row>
    <row r="119">
      <c r="B119" s="63"/>
    </row>
    <row r="120">
      <c r="B120" s="63"/>
    </row>
    <row r="121">
      <c r="B121" s="63"/>
    </row>
    <row r="122">
      <c r="B122" s="63"/>
    </row>
    <row r="123">
      <c r="B123" s="63"/>
    </row>
    <row r="124">
      <c r="B124" s="63"/>
    </row>
    <row r="125">
      <c r="B125" s="63"/>
    </row>
    <row r="126">
      <c r="B126" s="63"/>
    </row>
    <row r="127">
      <c r="B127" s="63"/>
    </row>
    <row r="128">
      <c r="B128" s="63"/>
    </row>
    <row r="129">
      <c r="B129" s="63"/>
    </row>
    <row r="130">
      <c r="B130" s="63"/>
    </row>
    <row r="131">
      <c r="B131" s="63"/>
    </row>
    <row r="132">
      <c r="B132" s="63"/>
    </row>
    <row r="133">
      <c r="B133" s="63"/>
    </row>
    <row r="134">
      <c r="B134" s="63"/>
    </row>
    <row r="135">
      <c r="B135" s="63"/>
    </row>
    <row r="136">
      <c r="B136" s="63"/>
    </row>
    <row r="137">
      <c r="B137" s="63"/>
    </row>
    <row r="138">
      <c r="B138" s="63"/>
    </row>
    <row r="139">
      <c r="B139" s="63"/>
    </row>
    <row r="140">
      <c r="B140" s="63"/>
    </row>
    <row r="141">
      <c r="B141" s="63"/>
    </row>
    <row r="142">
      <c r="B142" s="63"/>
    </row>
    <row r="143">
      <c r="B143" s="63"/>
    </row>
    <row r="144">
      <c r="B144" s="63"/>
    </row>
    <row r="145">
      <c r="B145" s="63"/>
    </row>
    <row r="146">
      <c r="B146" s="63"/>
    </row>
    <row r="147">
      <c r="B147" s="63"/>
    </row>
    <row r="148">
      <c r="B148" s="63"/>
    </row>
    <row r="149">
      <c r="B149" s="63"/>
    </row>
    <row r="150">
      <c r="B150" s="63"/>
    </row>
    <row r="151">
      <c r="B151" s="63"/>
    </row>
    <row r="152">
      <c r="B152" s="63"/>
    </row>
    <row r="153">
      <c r="B153" s="63"/>
    </row>
    <row r="154">
      <c r="B154" s="63"/>
    </row>
    <row r="155">
      <c r="B155" s="63"/>
    </row>
    <row r="156">
      <c r="B156" s="63"/>
    </row>
    <row r="157">
      <c r="B157" s="63"/>
    </row>
    <row r="158">
      <c r="B158" s="63"/>
    </row>
    <row r="159">
      <c r="B159" s="63"/>
    </row>
    <row r="160">
      <c r="B160" s="63"/>
    </row>
    <row r="161">
      <c r="B161" s="63"/>
    </row>
    <row r="162">
      <c r="B162" s="63"/>
    </row>
    <row r="163">
      <c r="B163" s="63"/>
    </row>
    <row r="164">
      <c r="B164" s="63"/>
    </row>
    <row r="165">
      <c r="B165" s="63"/>
    </row>
    <row r="166">
      <c r="B166" s="63"/>
    </row>
    <row r="167">
      <c r="B167" s="63"/>
    </row>
    <row r="168">
      <c r="B168" s="63"/>
    </row>
    <row r="169">
      <c r="B169" s="63"/>
    </row>
    <row r="170">
      <c r="B170" s="63"/>
    </row>
    <row r="171">
      <c r="B171" s="63"/>
    </row>
    <row r="172">
      <c r="B172" s="63"/>
    </row>
    <row r="173">
      <c r="B173" s="63"/>
    </row>
    <row r="174">
      <c r="B174" s="63"/>
    </row>
    <row r="175">
      <c r="B175" s="63"/>
    </row>
    <row r="176">
      <c r="B176" s="63"/>
    </row>
    <row r="177">
      <c r="B177" s="63"/>
    </row>
    <row r="178">
      <c r="B178" s="63"/>
    </row>
    <row r="179">
      <c r="B179" s="63"/>
    </row>
    <row r="180">
      <c r="B180" s="63"/>
    </row>
    <row r="181">
      <c r="B181" s="63"/>
    </row>
    <row r="182">
      <c r="B182" s="63"/>
    </row>
    <row r="183">
      <c r="B183" s="63"/>
    </row>
    <row r="184">
      <c r="B184" s="63"/>
    </row>
    <row r="185">
      <c r="B185" s="63"/>
    </row>
    <row r="186">
      <c r="B186" s="63"/>
    </row>
    <row r="187">
      <c r="B187" s="63"/>
    </row>
    <row r="188">
      <c r="B188" s="63"/>
    </row>
    <row r="189">
      <c r="B189" s="63"/>
    </row>
    <row r="190">
      <c r="B190" s="63"/>
    </row>
    <row r="191">
      <c r="B191" s="63"/>
    </row>
    <row r="192">
      <c r="B192" s="63"/>
    </row>
    <row r="193">
      <c r="B193" s="63"/>
    </row>
    <row r="194">
      <c r="B194" s="63"/>
    </row>
    <row r="195">
      <c r="B195" s="63"/>
    </row>
    <row r="196">
      <c r="B196" s="63"/>
    </row>
    <row r="197">
      <c r="B197" s="63"/>
    </row>
    <row r="198">
      <c r="B198" s="63"/>
    </row>
    <row r="199">
      <c r="B199" s="63"/>
    </row>
    <row r="200">
      <c r="B200" s="63"/>
    </row>
    <row r="201">
      <c r="B201" s="63"/>
    </row>
    <row r="202">
      <c r="B202" s="63"/>
    </row>
    <row r="203">
      <c r="B203" s="63"/>
    </row>
    <row r="204">
      <c r="B204" s="63"/>
    </row>
    <row r="205">
      <c r="B205" s="63"/>
    </row>
    <row r="206">
      <c r="B206" s="63"/>
    </row>
    <row r="207">
      <c r="B207" s="63"/>
    </row>
    <row r="208">
      <c r="B208" s="63"/>
    </row>
    <row r="209">
      <c r="B209" s="63"/>
    </row>
    <row r="210">
      <c r="B210" s="63"/>
    </row>
    <row r="211">
      <c r="B211" s="63"/>
    </row>
    <row r="212">
      <c r="B212" s="63"/>
    </row>
    <row r="213">
      <c r="B213" s="63"/>
    </row>
    <row r="214">
      <c r="B214" s="63"/>
    </row>
    <row r="215">
      <c r="B215" s="63"/>
    </row>
    <row r="216">
      <c r="B216" s="63"/>
    </row>
    <row r="217">
      <c r="B217" s="63"/>
    </row>
    <row r="218">
      <c r="B218" s="63"/>
    </row>
    <row r="219">
      <c r="B219" s="63"/>
    </row>
    <row r="220">
      <c r="B220" s="63"/>
    </row>
    <row r="221">
      <c r="B221" s="63"/>
    </row>
    <row r="222">
      <c r="B222" s="63"/>
    </row>
    <row r="223">
      <c r="B223" s="63"/>
    </row>
    <row r="224">
      <c r="B224" s="63"/>
    </row>
    <row r="225">
      <c r="B225" s="63"/>
    </row>
    <row r="226">
      <c r="B226" s="63"/>
    </row>
    <row r="227">
      <c r="B227" s="63"/>
    </row>
    <row r="228">
      <c r="B228" s="63"/>
    </row>
    <row r="229">
      <c r="B229" s="63"/>
    </row>
    <row r="230">
      <c r="B230" s="63"/>
    </row>
    <row r="231">
      <c r="B231" s="63"/>
    </row>
    <row r="232">
      <c r="B232" s="63"/>
    </row>
    <row r="233">
      <c r="B233" s="63"/>
    </row>
    <row r="234">
      <c r="B234" s="63"/>
    </row>
    <row r="235">
      <c r="B235" s="63"/>
    </row>
    <row r="236">
      <c r="B236" s="63"/>
    </row>
    <row r="237">
      <c r="B237" s="63"/>
    </row>
    <row r="238">
      <c r="B238" s="63"/>
    </row>
    <row r="239">
      <c r="B239" s="63"/>
    </row>
    <row r="240">
      <c r="B240" s="63"/>
    </row>
    <row r="241">
      <c r="B241" s="63"/>
    </row>
    <row r="242">
      <c r="B242" s="63"/>
    </row>
    <row r="243">
      <c r="B243" s="63"/>
    </row>
    <row r="244">
      <c r="B244" s="63"/>
    </row>
    <row r="245">
      <c r="B245" s="63"/>
    </row>
    <row r="246">
      <c r="B246" s="63"/>
    </row>
    <row r="247">
      <c r="B247" s="63"/>
    </row>
    <row r="248">
      <c r="B248" s="63"/>
    </row>
    <row r="249">
      <c r="B249" s="63"/>
    </row>
    <row r="250">
      <c r="B250" s="63"/>
    </row>
    <row r="251">
      <c r="B251" s="63"/>
    </row>
    <row r="252">
      <c r="B252" s="63"/>
    </row>
    <row r="253">
      <c r="B253" s="63"/>
    </row>
    <row r="254">
      <c r="B254" s="63"/>
    </row>
    <row r="255">
      <c r="B255" s="63"/>
    </row>
    <row r="256">
      <c r="B256" s="63"/>
    </row>
    <row r="257">
      <c r="B257" s="63"/>
    </row>
    <row r="258">
      <c r="B258" s="63"/>
    </row>
    <row r="259">
      <c r="B259" s="63"/>
    </row>
    <row r="260">
      <c r="B260" s="63"/>
    </row>
    <row r="261">
      <c r="B261" s="63"/>
    </row>
    <row r="262">
      <c r="B262" s="63"/>
    </row>
    <row r="263">
      <c r="B263" s="63"/>
    </row>
    <row r="264">
      <c r="B264" s="63"/>
    </row>
    <row r="265">
      <c r="B265" s="63"/>
    </row>
    <row r="266">
      <c r="B266" s="63"/>
    </row>
    <row r="267">
      <c r="B267" s="63"/>
    </row>
    <row r="268">
      <c r="B268" s="63"/>
    </row>
    <row r="269">
      <c r="B269" s="63"/>
    </row>
    <row r="270">
      <c r="B270" s="63"/>
    </row>
    <row r="271">
      <c r="B271" s="63"/>
    </row>
    <row r="272">
      <c r="B272" s="63"/>
    </row>
    <row r="273">
      <c r="B273" s="63"/>
    </row>
    <row r="274">
      <c r="B274" s="63"/>
    </row>
    <row r="275">
      <c r="B275" s="63"/>
    </row>
    <row r="276">
      <c r="B276" s="63"/>
    </row>
    <row r="277">
      <c r="B277" s="63"/>
    </row>
    <row r="278">
      <c r="B278" s="63"/>
    </row>
    <row r="279">
      <c r="B279" s="63"/>
    </row>
    <row r="280">
      <c r="B280" s="63"/>
    </row>
    <row r="281">
      <c r="B281" s="63"/>
    </row>
    <row r="282">
      <c r="B282" s="63"/>
    </row>
    <row r="283">
      <c r="B283" s="63"/>
    </row>
    <row r="284">
      <c r="B284" s="63"/>
    </row>
    <row r="285">
      <c r="B285" s="63"/>
    </row>
    <row r="286">
      <c r="B286" s="63"/>
    </row>
    <row r="287">
      <c r="B287" s="63"/>
    </row>
    <row r="288">
      <c r="B288" s="63"/>
    </row>
    <row r="289">
      <c r="B289" s="63"/>
    </row>
    <row r="290">
      <c r="B290" s="63"/>
    </row>
    <row r="291">
      <c r="B291" s="63"/>
    </row>
    <row r="292">
      <c r="B292" s="63"/>
    </row>
    <row r="293">
      <c r="B293" s="63"/>
    </row>
    <row r="294">
      <c r="B294" s="63"/>
    </row>
    <row r="295">
      <c r="B295" s="63"/>
    </row>
    <row r="296">
      <c r="B296" s="63"/>
    </row>
    <row r="297">
      <c r="B297" s="63"/>
    </row>
    <row r="298">
      <c r="B298" s="63"/>
    </row>
    <row r="299">
      <c r="B299" s="63"/>
    </row>
    <row r="300">
      <c r="B300" s="63"/>
    </row>
    <row r="301">
      <c r="B301" s="63"/>
    </row>
    <row r="302">
      <c r="B302" s="63"/>
    </row>
    <row r="303">
      <c r="B303" s="63"/>
    </row>
    <row r="304">
      <c r="B304" s="63"/>
    </row>
    <row r="305">
      <c r="B305" s="63"/>
    </row>
    <row r="306">
      <c r="B306" s="63"/>
    </row>
    <row r="307">
      <c r="B307" s="63"/>
    </row>
    <row r="308">
      <c r="B308" s="63"/>
    </row>
    <row r="309">
      <c r="B309" s="63"/>
    </row>
    <row r="310">
      <c r="B310" s="63"/>
    </row>
    <row r="311">
      <c r="B311" s="63"/>
    </row>
    <row r="312">
      <c r="B312" s="63"/>
    </row>
    <row r="313">
      <c r="B313" s="63"/>
    </row>
    <row r="314">
      <c r="B314" s="63"/>
    </row>
    <row r="315">
      <c r="B315" s="63"/>
    </row>
    <row r="316">
      <c r="B316" s="63"/>
    </row>
    <row r="317">
      <c r="B317" s="63"/>
    </row>
    <row r="318">
      <c r="B318" s="63"/>
    </row>
    <row r="319">
      <c r="B319" s="63"/>
    </row>
    <row r="320">
      <c r="B320" s="63"/>
    </row>
    <row r="321">
      <c r="B321" s="63"/>
    </row>
    <row r="322">
      <c r="B322" s="63"/>
    </row>
    <row r="323">
      <c r="B323" s="63"/>
    </row>
    <row r="324">
      <c r="B324" s="63"/>
    </row>
    <row r="325">
      <c r="B325" s="63"/>
    </row>
    <row r="326">
      <c r="B326" s="63"/>
    </row>
    <row r="327">
      <c r="B327" s="63"/>
    </row>
    <row r="328">
      <c r="B328" s="63"/>
    </row>
    <row r="329">
      <c r="B329" s="63"/>
    </row>
    <row r="330">
      <c r="B330" s="63"/>
    </row>
    <row r="331">
      <c r="B331" s="63"/>
    </row>
    <row r="332">
      <c r="B332" s="63"/>
    </row>
    <row r="333">
      <c r="B333" s="63"/>
    </row>
    <row r="334">
      <c r="B334" s="63"/>
    </row>
    <row r="335">
      <c r="B335" s="63"/>
    </row>
    <row r="336">
      <c r="B336" s="63"/>
    </row>
    <row r="337">
      <c r="B337" s="63"/>
    </row>
    <row r="338">
      <c r="B338" s="63"/>
    </row>
    <row r="339">
      <c r="B339" s="63"/>
    </row>
    <row r="340">
      <c r="B340" s="63"/>
    </row>
    <row r="341">
      <c r="B341" s="63"/>
    </row>
    <row r="342">
      <c r="B342" s="63"/>
    </row>
    <row r="343">
      <c r="B343" s="63"/>
    </row>
    <row r="344">
      <c r="B344" s="63"/>
    </row>
    <row r="345">
      <c r="B345" s="63"/>
    </row>
    <row r="346">
      <c r="B346" s="63"/>
    </row>
    <row r="347">
      <c r="B347" s="63"/>
    </row>
    <row r="348">
      <c r="B348" s="63"/>
    </row>
    <row r="349">
      <c r="B349" s="63"/>
    </row>
    <row r="350">
      <c r="B350" s="63"/>
    </row>
    <row r="351">
      <c r="B351" s="63"/>
    </row>
    <row r="352">
      <c r="B352" s="63"/>
    </row>
    <row r="353">
      <c r="B353" s="63"/>
    </row>
    <row r="354">
      <c r="B354" s="63"/>
    </row>
    <row r="355">
      <c r="B355" s="63"/>
    </row>
    <row r="356">
      <c r="B356" s="63"/>
    </row>
    <row r="357">
      <c r="B357" s="63"/>
    </row>
    <row r="358">
      <c r="B358" s="63"/>
    </row>
    <row r="359">
      <c r="B359" s="63"/>
    </row>
    <row r="360">
      <c r="B360" s="63"/>
    </row>
    <row r="361">
      <c r="B361" s="63"/>
    </row>
    <row r="362">
      <c r="B362" s="63"/>
    </row>
    <row r="363">
      <c r="B363" s="63"/>
    </row>
    <row r="364">
      <c r="B364" s="63"/>
    </row>
    <row r="365">
      <c r="B365" s="63"/>
    </row>
    <row r="366">
      <c r="B366" s="63"/>
    </row>
    <row r="367">
      <c r="B367" s="63"/>
    </row>
    <row r="368">
      <c r="B368" s="63"/>
    </row>
    <row r="369">
      <c r="B369" s="63"/>
    </row>
    <row r="370">
      <c r="B370" s="63"/>
    </row>
    <row r="371">
      <c r="B371" s="63"/>
    </row>
    <row r="372">
      <c r="B372" s="63"/>
    </row>
    <row r="373">
      <c r="B373" s="63"/>
    </row>
    <row r="374">
      <c r="B374" s="63"/>
    </row>
    <row r="375">
      <c r="B375" s="63"/>
    </row>
    <row r="376">
      <c r="B376" s="63"/>
    </row>
    <row r="377">
      <c r="B377" s="63"/>
    </row>
    <row r="378">
      <c r="B378" s="63"/>
    </row>
    <row r="379">
      <c r="B379" s="63"/>
    </row>
    <row r="380">
      <c r="B380" s="63"/>
    </row>
    <row r="381">
      <c r="B381" s="63"/>
    </row>
    <row r="382">
      <c r="B382" s="63"/>
    </row>
    <row r="383">
      <c r="B383" s="63"/>
    </row>
    <row r="384">
      <c r="B384" s="63"/>
    </row>
    <row r="385">
      <c r="B385" s="63"/>
    </row>
    <row r="386">
      <c r="B386" s="63"/>
    </row>
    <row r="387">
      <c r="B387" s="63"/>
    </row>
    <row r="388">
      <c r="B388" s="63"/>
    </row>
    <row r="389">
      <c r="B389" s="63"/>
    </row>
    <row r="390">
      <c r="B390" s="63"/>
    </row>
    <row r="391">
      <c r="B391" s="63"/>
    </row>
    <row r="392">
      <c r="B392" s="63"/>
    </row>
    <row r="393">
      <c r="B393" s="63"/>
    </row>
    <row r="394">
      <c r="B394" s="63"/>
    </row>
    <row r="395">
      <c r="B395" s="63"/>
    </row>
    <row r="396">
      <c r="B396" s="63"/>
    </row>
    <row r="397">
      <c r="B397" s="63"/>
    </row>
    <row r="398">
      <c r="B398" s="63"/>
    </row>
    <row r="399">
      <c r="B399" s="63"/>
    </row>
    <row r="400">
      <c r="B400" s="63"/>
    </row>
    <row r="401">
      <c r="B401" s="63"/>
    </row>
    <row r="402">
      <c r="B402" s="63"/>
    </row>
    <row r="403">
      <c r="B403" s="63"/>
    </row>
    <row r="404">
      <c r="B404" s="63"/>
    </row>
    <row r="405">
      <c r="B405" s="63"/>
    </row>
    <row r="406">
      <c r="B406" s="63"/>
    </row>
    <row r="407">
      <c r="B407" s="63"/>
    </row>
    <row r="408">
      <c r="B408" s="63"/>
    </row>
    <row r="409">
      <c r="B409" s="63"/>
    </row>
    <row r="410">
      <c r="B410" s="63"/>
    </row>
    <row r="411">
      <c r="B411" s="63"/>
    </row>
    <row r="412">
      <c r="B412" s="63"/>
    </row>
    <row r="413">
      <c r="B413" s="63"/>
    </row>
    <row r="414">
      <c r="B414" s="63"/>
    </row>
    <row r="415">
      <c r="B415" s="63"/>
    </row>
    <row r="416">
      <c r="B416" s="63"/>
    </row>
    <row r="417">
      <c r="B417" s="63"/>
    </row>
    <row r="418">
      <c r="B418" s="63"/>
    </row>
    <row r="419">
      <c r="B419" s="63"/>
    </row>
    <row r="420">
      <c r="B420" s="63"/>
    </row>
    <row r="421">
      <c r="B421" s="63"/>
    </row>
    <row r="422">
      <c r="B422" s="63"/>
    </row>
    <row r="423">
      <c r="B423" s="63"/>
    </row>
    <row r="424">
      <c r="B424" s="63"/>
    </row>
    <row r="425">
      <c r="B425" s="63"/>
    </row>
    <row r="426">
      <c r="B426" s="63"/>
    </row>
    <row r="427">
      <c r="B427" s="63"/>
    </row>
    <row r="428">
      <c r="B428" s="63"/>
    </row>
    <row r="429">
      <c r="B429" s="63"/>
    </row>
    <row r="430">
      <c r="B430" s="63"/>
    </row>
    <row r="431">
      <c r="B431" s="63"/>
    </row>
    <row r="432">
      <c r="B432" s="63"/>
    </row>
    <row r="433">
      <c r="B433" s="63"/>
    </row>
    <row r="434">
      <c r="B434" s="63"/>
    </row>
    <row r="435">
      <c r="B435" s="63"/>
    </row>
    <row r="436">
      <c r="B436" s="63"/>
    </row>
    <row r="437">
      <c r="B437" s="63"/>
    </row>
    <row r="438">
      <c r="B438" s="63"/>
    </row>
    <row r="439">
      <c r="B439" s="63"/>
    </row>
    <row r="440">
      <c r="B440" s="63"/>
    </row>
    <row r="441">
      <c r="B441" s="63"/>
    </row>
    <row r="442">
      <c r="B442" s="63"/>
    </row>
    <row r="443">
      <c r="B443" s="63"/>
    </row>
    <row r="444">
      <c r="B444" s="63"/>
    </row>
    <row r="445">
      <c r="B445" s="63"/>
    </row>
    <row r="446">
      <c r="B446" s="63"/>
    </row>
    <row r="447">
      <c r="B447" s="63"/>
    </row>
    <row r="448">
      <c r="B448" s="63"/>
    </row>
    <row r="449">
      <c r="B449" s="63"/>
    </row>
    <row r="450">
      <c r="B450" s="63"/>
    </row>
    <row r="451">
      <c r="B451" s="63"/>
    </row>
    <row r="452">
      <c r="B452" s="63"/>
    </row>
    <row r="453">
      <c r="B453" s="63"/>
    </row>
    <row r="454">
      <c r="B454" s="63"/>
    </row>
    <row r="455">
      <c r="B455" s="63"/>
    </row>
    <row r="456">
      <c r="B456" s="63"/>
    </row>
    <row r="457">
      <c r="B457" s="63"/>
    </row>
    <row r="458">
      <c r="B458" s="63"/>
    </row>
    <row r="459">
      <c r="B459" s="63"/>
    </row>
    <row r="460">
      <c r="B460" s="63"/>
    </row>
    <row r="461">
      <c r="B461" s="63"/>
    </row>
    <row r="462">
      <c r="B462" s="63"/>
    </row>
    <row r="463">
      <c r="B463" s="63"/>
    </row>
    <row r="464">
      <c r="B464" s="63"/>
    </row>
    <row r="465">
      <c r="B465" s="63"/>
    </row>
    <row r="466">
      <c r="B466" s="63"/>
    </row>
    <row r="467">
      <c r="B467" s="63"/>
    </row>
    <row r="468">
      <c r="B468" s="63"/>
    </row>
    <row r="469">
      <c r="B469" s="63"/>
    </row>
    <row r="470">
      <c r="B470" s="63"/>
    </row>
    <row r="471">
      <c r="B471" s="63"/>
    </row>
    <row r="472">
      <c r="B472" s="63"/>
    </row>
    <row r="473">
      <c r="B473" s="63"/>
    </row>
    <row r="474">
      <c r="B474" s="63"/>
    </row>
    <row r="475">
      <c r="B475" s="63"/>
    </row>
    <row r="476">
      <c r="B476" s="63"/>
    </row>
    <row r="477">
      <c r="B477" s="63"/>
    </row>
    <row r="478">
      <c r="B478" s="63"/>
    </row>
    <row r="479">
      <c r="B479" s="63"/>
    </row>
    <row r="480">
      <c r="B480" s="63"/>
    </row>
    <row r="481">
      <c r="B481" s="63"/>
    </row>
    <row r="482">
      <c r="B482" s="63"/>
    </row>
    <row r="483">
      <c r="B483" s="63"/>
    </row>
    <row r="484">
      <c r="B484" s="63"/>
    </row>
    <row r="485">
      <c r="B485" s="63"/>
    </row>
    <row r="486">
      <c r="B486" s="63"/>
    </row>
    <row r="487">
      <c r="B487" s="63"/>
    </row>
    <row r="488">
      <c r="B488" s="63"/>
    </row>
    <row r="489">
      <c r="B489" s="63"/>
    </row>
    <row r="490">
      <c r="B490" s="63"/>
    </row>
    <row r="491">
      <c r="B491" s="63"/>
    </row>
    <row r="492">
      <c r="B492" s="63"/>
    </row>
    <row r="493">
      <c r="B493" s="63"/>
    </row>
    <row r="494">
      <c r="B494" s="63"/>
    </row>
    <row r="495">
      <c r="B495" s="63"/>
    </row>
    <row r="496">
      <c r="B496" s="63"/>
    </row>
    <row r="497">
      <c r="B497" s="63"/>
    </row>
    <row r="498">
      <c r="B498" s="63"/>
    </row>
    <row r="499">
      <c r="B499" s="63"/>
    </row>
    <row r="500">
      <c r="B500" s="63"/>
    </row>
    <row r="501">
      <c r="B501" s="63"/>
    </row>
    <row r="502">
      <c r="B502" s="63"/>
    </row>
    <row r="503">
      <c r="B503" s="63"/>
    </row>
    <row r="504">
      <c r="B504" s="63"/>
    </row>
    <row r="505">
      <c r="B505" s="63"/>
    </row>
    <row r="506">
      <c r="B506" s="63"/>
    </row>
    <row r="507">
      <c r="B507" s="63"/>
    </row>
    <row r="508">
      <c r="B508" s="63"/>
    </row>
    <row r="509">
      <c r="B509" s="63"/>
    </row>
    <row r="510">
      <c r="B510" s="63"/>
    </row>
    <row r="511">
      <c r="B511" s="63"/>
    </row>
    <row r="512">
      <c r="B512" s="63"/>
    </row>
    <row r="513">
      <c r="B513" s="63"/>
    </row>
    <row r="514">
      <c r="B514" s="63"/>
    </row>
    <row r="515">
      <c r="B515" s="63"/>
    </row>
    <row r="516">
      <c r="B516" s="63"/>
    </row>
    <row r="517">
      <c r="B517" s="63"/>
    </row>
    <row r="518">
      <c r="B518" s="63"/>
    </row>
    <row r="519">
      <c r="B519" s="63"/>
    </row>
    <row r="520">
      <c r="B520" s="63"/>
    </row>
    <row r="521">
      <c r="B521" s="63"/>
    </row>
    <row r="522">
      <c r="B522" s="63"/>
    </row>
    <row r="523">
      <c r="B523" s="63"/>
    </row>
    <row r="524">
      <c r="B524" s="63"/>
    </row>
    <row r="525">
      <c r="B525" s="63"/>
    </row>
    <row r="526">
      <c r="B526" s="63"/>
    </row>
    <row r="527">
      <c r="B527" s="63"/>
    </row>
    <row r="528">
      <c r="B528" s="63"/>
    </row>
    <row r="529">
      <c r="B529" s="63"/>
    </row>
    <row r="530">
      <c r="B530" s="63"/>
    </row>
    <row r="531">
      <c r="B531" s="63"/>
    </row>
    <row r="532">
      <c r="B532" s="63"/>
    </row>
    <row r="533">
      <c r="B533" s="63"/>
    </row>
    <row r="534">
      <c r="B534" s="63"/>
    </row>
    <row r="535">
      <c r="B535" s="63"/>
    </row>
    <row r="536">
      <c r="B536" s="63"/>
    </row>
    <row r="537">
      <c r="B537" s="63"/>
    </row>
    <row r="538">
      <c r="B538" s="63"/>
    </row>
    <row r="539">
      <c r="B539" s="63"/>
    </row>
    <row r="540">
      <c r="B540" s="63"/>
    </row>
    <row r="541">
      <c r="B541" s="63"/>
    </row>
    <row r="542">
      <c r="B542" s="63"/>
    </row>
    <row r="543">
      <c r="B543" s="63"/>
    </row>
    <row r="544">
      <c r="B544" s="63"/>
    </row>
    <row r="545">
      <c r="B545" s="63"/>
    </row>
    <row r="546">
      <c r="B546" s="63"/>
    </row>
    <row r="547">
      <c r="B547" s="63"/>
    </row>
    <row r="548">
      <c r="B548" s="63"/>
    </row>
    <row r="549">
      <c r="B549" s="63"/>
    </row>
    <row r="550">
      <c r="B550" s="63"/>
    </row>
    <row r="551">
      <c r="B551" s="63"/>
    </row>
    <row r="552">
      <c r="B552" s="63"/>
    </row>
    <row r="553">
      <c r="B553" s="63"/>
    </row>
    <row r="554">
      <c r="B554" s="63"/>
    </row>
    <row r="555">
      <c r="B555" s="63"/>
    </row>
    <row r="556">
      <c r="B556" s="63"/>
    </row>
    <row r="557">
      <c r="B557" s="63"/>
    </row>
    <row r="558">
      <c r="B558" s="63"/>
    </row>
    <row r="559">
      <c r="B559" s="63"/>
    </row>
    <row r="560">
      <c r="B560" s="63"/>
    </row>
    <row r="561">
      <c r="B561" s="63"/>
    </row>
    <row r="562">
      <c r="B562" s="63"/>
    </row>
    <row r="563">
      <c r="B563" s="63"/>
    </row>
    <row r="564">
      <c r="B564" s="63"/>
    </row>
    <row r="565">
      <c r="B565" s="63"/>
    </row>
    <row r="566">
      <c r="B566" s="63"/>
    </row>
    <row r="567">
      <c r="B567" s="63"/>
    </row>
    <row r="568">
      <c r="B568" s="63"/>
    </row>
    <row r="569">
      <c r="B569" s="63"/>
    </row>
    <row r="570">
      <c r="B570" s="63"/>
    </row>
    <row r="571">
      <c r="B571" s="63"/>
    </row>
    <row r="572">
      <c r="B572" s="63"/>
    </row>
    <row r="573">
      <c r="B573" s="63"/>
    </row>
    <row r="574">
      <c r="B574" s="63"/>
    </row>
    <row r="575">
      <c r="B575" s="63"/>
    </row>
    <row r="576">
      <c r="B576" s="63"/>
    </row>
    <row r="577">
      <c r="B577" s="63"/>
    </row>
    <row r="578">
      <c r="B578" s="63"/>
    </row>
    <row r="579">
      <c r="B579" s="63"/>
    </row>
    <row r="580">
      <c r="B580" s="63"/>
    </row>
    <row r="581">
      <c r="B581" s="63"/>
    </row>
    <row r="582">
      <c r="B582" s="63"/>
    </row>
    <row r="583">
      <c r="B583" s="63"/>
    </row>
    <row r="584">
      <c r="B584" s="63"/>
    </row>
    <row r="585">
      <c r="B585" s="63"/>
    </row>
    <row r="586">
      <c r="B586" s="63"/>
    </row>
    <row r="587">
      <c r="B587" s="63"/>
    </row>
    <row r="588">
      <c r="B588" s="63"/>
    </row>
    <row r="589">
      <c r="B589" s="63"/>
    </row>
    <row r="590">
      <c r="B590" s="63"/>
    </row>
    <row r="591">
      <c r="B591" s="63"/>
    </row>
    <row r="592">
      <c r="B592" s="63"/>
    </row>
    <row r="593">
      <c r="B593" s="63"/>
    </row>
    <row r="594">
      <c r="B594" s="63"/>
    </row>
    <row r="595">
      <c r="B595" s="63"/>
    </row>
    <row r="596">
      <c r="B596" s="63"/>
    </row>
    <row r="597">
      <c r="B597" s="63"/>
    </row>
    <row r="598">
      <c r="B598" s="63"/>
    </row>
    <row r="599">
      <c r="B599" s="63"/>
    </row>
    <row r="600">
      <c r="B600" s="63"/>
    </row>
    <row r="601">
      <c r="B601" s="63"/>
    </row>
    <row r="602">
      <c r="B602" s="63"/>
    </row>
    <row r="603">
      <c r="B603" s="63"/>
    </row>
    <row r="604">
      <c r="B604" s="63"/>
    </row>
    <row r="605">
      <c r="B605" s="63"/>
    </row>
    <row r="606">
      <c r="B606" s="63"/>
    </row>
    <row r="607">
      <c r="B607" s="63"/>
    </row>
    <row r="608">
      <c r="B608" s="63"/>
    </row>
    <row r="609">
      <c r="B609" s="63"/>
    </row>
    <row r="610">
      <c r="B610" s="63"/>
    </row>
    <row r="611">
      <c r="B611" s="63"/>
    </row>
    <row r="612">
      <c r="B612" s="63"/>
    </row>
    <row r="613">
      <c r="B613" s="63"/>
    </row>
    <row r="614">
      <c r="B614" s="63"/>
    </row>
    <row r="615">
      <c r="B615" s="63"/>
    </row>
    <row r="616">
      <c r="B616" s="63"/>
    </row>
    <row r="617">
      <c r="B617" s="63"/>
    </row>
    <row r="618">
      <c r="B618" s="63"/>
    </row>
    <row r="619">
      <c r="B619" s="63"/>
    </row>
    <row r="620">
      <c r="B620" s="63"/>
    </row>
    <row r="621">
      <c r="B621" s="63"/>
    </row>
    <row r="622">
      <c r="B622" s="63"/>
    </row>
    <row r="623">
      <c r="B623" s="63"/>
    </row>
    <row r="624">
      <c r="B624" s="63"/>
    </row>
    <row r="625">
      <c r="B625" s="63"/>
    </row>
    <row r="626">
      <c r="B626" s="63"/>
    </row>
    <row r="627">
      <c r="B627" s="63"/>
    </row>
    <row r="628">
      <c r="B628" s="63"/>
    </row>
    <row r="629">
      <c r="B629" s="63"/>
    </row>
    <row r="630">
      <c r="B630" s="63"/>
    </row>
    <row r="631">
      <c r="B631" s="63"/>
    </row>
    <row r="632">
      <c r="B632" s="63"/>
    </row>
    <row r="633">
      <c r="B633" s="63"/>
    </row>
    <row r="634">
      <c r="B634" s="63"/>
    </row>
    <row r="635">
      <c r="B635" s="63"/>
    </row>
    <row r="636">
      <c r="B636" s="63"/>
    </row>
    <row r="637">
      <c r="B637" s="63"/>
    </row>
    <row r="638">
      <c r="B638" s="63"/>
    </row>
    <row r="639">
      <c r="B639" s="63"/>
    </row>
    <row r="640">
      <c r="B640" s="63"/>
    </row>
    <row r="641">
      <c r="B641" s="63"/>
    </row>
    <row r="642">
      <c r="B642" s="63"/>
    </row>
    <row r="643">
      <c r="B643" s="63"/>
    </row>
    <row r="644">
      <c r="B644" s="63"/>
    </row>
    <row r="645">
      <c r="B645" s="63"/>
    </row>
    <row r="646">
      <c r="B646" s="63"/>
    </row>
    <row r="647">
      <c r="B647" s="63"/>
    </row>
    <row r="648">
      <c r="B648" s="63"/>
    </row>
    <row r="649">
      <c r="B649" s="63"/>
    </row>
    <row r="650">
      <c r="B650" s="63"/>
    </row>
    <row r="651">
      <c r="B651" s="63"/>
    </row>
    <row r="652">
      <c r="B652" s="63"/>
    </row>
    <row r="653">
      <c r="B653" s="63"/>
    </row>
    <row r="654">
      <c r="B654" s="63"/>
    </row>
    <row r="655">
      <c r="B655" s="63"/>
    </row>
    <row r="656">
      <c r="B656" s="63"/>
    </row>
    <row r="657">
      <c r="B657" s="63"/>
    </row>
    <row r="658">
      <c r="B658" s="63"/>
    </row>
    <row r="659">
      <c r="B659" s="63"/>
    </row>
    <row r="660">
      <c r="B660" s="63"/>
    </row>
    <row r="661">
      <c r="B661" s="63"/>
    </row>
    <row r="662">
      <c r="B662" s="63"/>
    </row>
    <row r="663">
      <c r="B663" s="63"/>
    </row>
    <row r="664">
      <c r="B664" s="63"/>
    </row>
    <row r="665">
      <c r="B665" s="63"/>
    </row>
    <row r="666">
      <c r="B666" s="63"/>
    </row>
    <row r="667">
      <c r="B667" s="63"/>
    </row>
    <row r="668">
      <c r="B668" s="63"/>
    </row>
    <row r="669">
      <c r="B669" s="63"/>
    </row>
    <row r="670">
      <c r="B670" s="63"/>
    </row>
    <row r="671">
      <c r="B671" s="63"/>
    </row>
    <row r="672">
      <c r="B672" s="63"/>
    </row>
    <row r="673">
      <c r="B673" s="63"/>
    </row>
    <row r="674">
      <c r="B674" s="63"/>
    </row>
    <row r="675">
      <c r="B675" s="63"/>
    </row>
    <row r="676">
      <c r="B676" s="63"/>
    </row>
    <row r="677">
      <c r="B677" s="63"/>
    </row>
    <row r="678">
      <c r="B678" s="63"/>
    </row>
    <row r="679">
      <c r="B679" s="63"/>
    </row>
    <row r="680">
      <c r="B680" s="63"/>
    </row>
    <row r="681">
      <c r="B681" s="63"/>
    </row>
    <row r="682">
      <c r="B682" s="63"/>
    </row>
    <row r="683">
      <c r="B683" s="63"/>
    </row>
    <row r="684">
      <c r="B684" s="63"/>
    </row>
    <row r="685">
      <c r="B685" s="63"/>
    </row>
    <row r="686">
      <c r="B686" s="63"/>
    </row>
    <row r="687">
      <c r="B687" s="63"/>
    </row>
    <row r="688">
      <c r="B688" s="63"/>
    </row>
    <row r="689">
      <c r="B689" s="63"/>
    </row>
    <row r="690">
      <c r="B690" s="63"/>
    </row>
    <row r="691">
      <c r="B691" s="63"/>
    </row>
    <row r="692">
      <c r="B692" s="63"/>
    </row>
    <row r="693">
      <c r="B693" s="63"/>
    </row>
    <row r="694">
      <c r="B694" s="63"/>
    </row>
    <row r="695">
      <c r="B695" s="63"/>
    </row>
    <row r="696">
      <c r="B696" s="63"/>
    </row>
    <row r="697">
      <c r="B697" s="63"/>
    </row>
    <row r="698">
      <c r="B698" s="63"/>
    </row>
    <row r="699">
      <c r="B699" s="63"/>
    </row>
    <row r="700">
      <c r="B700" s="63"/>
    </row>
    <row r="701">
      <c r="B701" s="63"/>
    </row>
    <row r="702">
      <c r="B702" s="63"/>
    </row>
    <row r="703">
      <c r="B703" s="63"/>
    </row>
    <row r="704">
      <c r="B704" s="63"/>
    </row>
    <row r="705">
      <c r="B705" s="63"/>
    </row>
    <row r="706">
      <c r="B706" s="63"/>
    </row>
    <row r="707">
      <c r="B707" s="63"/>
    </row>
    <row r="708">
      <c r="B708" s="63"/>
    </row>
    <row r="709">
      <c r="B709" s="63"/>
    </row>
    <row r="710">
      <c r="B710" s="63"/>
    </row>
    <row r="711">
      <c r="B711" s="63"/>
    </row>
    <row r="712">
      <c r="B712" s="63"/>
    </row>
    <row r="713">
      <c r="B713" s="63"/>
    </row>
    <row r="714">
      <c r="B714" s="63"/>
    </row>
    <row r="715">
      <c r="B715" s="63"/>
    </row>
    <row r="716">
      <c r="B716" s="63"/>
    </row>
    <row r="717">
      <c r="B717" s="63"/>
    </row>
    <row r="718">
      <c r="B718" s="63"/>
    </row>
    <row r="719">
      <c r="B719" s="63"/>
    </row>
    <row r="720">
      <c r="B720" s="63"/>
    </row>
    <row r="721">
      <c r="B721" s="63"/>
    </row>
    <row r="722">
      <c r="B722" s="63"/>
    </row>
    <row r="723">
      <c r="B723" s="63"/>
    </row>
    <row r="724">
      <c r="B724" s="63"/>
    </row>
    <row r="725">
      <c r="B725" s="63"/>
    </row>
    <row r="726">
      <c r="B726" s="63"/>
    </row>
    <row r="727">
      <c r="B727" s="63"/>
    </row>
    <row r="728">
      <c r="B728" s="63"/>
    </row>
    <row r="729">
      <c r="B729" s="63"/>
    </row>
    <row r="730">
      <c r="B730" s="63"/>
    </row>
    <row r="731">
      <c r="B731" s="63"/>
    </row>
    <row r="732">
      <c r="B732" s="63"/>
    </row>
    <row r="733">
      <c r="B733" s="63"/>
    </row>
    <row r="734">
      <c r="B734" s="63"/>
    </row>
    <row r="735">
      <c r="B735" s="63"/>
    </row>
    <row r="736">
      <c r="B736" s="63"/>
    </row>
    <row r="737">
      <c r="B737" s="63"/>
    </row>
    <row r="738">
      <c r="B738" s="63"/>
    </row>
    <row r="739">
      <c r="B739" s="63"/>
    </row>
    <row r="740">
      <c r="B740" s="63"/>
    </row>
    <row r="741">
      <c r="B741" s="63"/>
    </row>
    <row r="742">
      <c r="B742" s="63"/>
    </row>
    <row r="743">
      <c r="B743" s="63"/>
    </row>
    <row r="744">
      <c r="B744" s="63"/>
    </row>
    <row r="745">
      <c r="B745" s="63"/>
    </row>
    <row r="746">
      <c r="B746" s="63"/>
    </row>
    <row r="747">
      <c r="B747" s="63"/>
    </row>
    <row r="748">
      <c r="B748" s="63"/>
    </row>
    <row r="749">
      <c r="B749" s="63"/>
    </row>
    <row r="750">
      <c r="B750" s="63"/>
    </row>
    <row r="751">
      <c r="B751" s="63"/>
    </row>
    <row r="752">
      <c r="B752" s="63"/>
    </row>
    <row r="753">
      <c r="B753" s="63"/>
    </row>
    <row r="754">
      <c r="B754" s="63"/>
    </row>
    <row r="755">
      <c r="B755" s="63"/>
    </row>
    <row r="756">
      <c r="B756" s="63"/>
    </row>
    <row r="757">
      <c r="B757" s="63"/>
    </row>
    <row r="758">
      <c r="B758" s="63"/>
    </row>
    <row r="759">
      <c r="B759" s="63"/>
    </row>
    <row r="760">
      <c r="B760" s="63"/>
    </row>
    <row r="761">
      <c r="B761" s="63"/>
    </row>
    <row r="762">
      <c r="B762" s="63"/>
    </row>
    <row r="763">
      <c r="B763" s="63"/>
    </row>
    <row r="764">
      <c r="B764" s="63"/>
    </row>
    <row r="765">
      <c r="B765" s="63"/>
    </row>
    <row r="766">
      <c r="B766" s="63"/>
    </row>
    <row r="767">
      <c r="B767" s="63"/>
    </row>
    <row r="768">
      <c r="B768" s="63"/>
    </row>
    <row r="769">
      <c r="B769" s="63"/>
    </row>
    <row r="770">
      <c r="B770" s="63"/>
    </row>
    <row r="771">
      <c r="B771" s="63"/>
    </row>
    <row r="772">
      <c r="B772" s="63"/>
    </row>
    <row r="773">
      <c r="B773" s="63"/>
    </row>
    <row r="774">
      <c r="B774" s="63"/>
    </row>
    <row r="775">
      <c r="B775" s="63"/>
    </row>
    <row r="776">
      <c r="B776" s="63"/>
    </row>
    <row r="777">
      <c r="B777" s="63"/>
    </row>
    <row r="778">
      <c r="B778" s="63"/>
    </row>
    <row r="779">
      <c r="B779" s="63"/>
    </row>
    <row r="780">
      <c r="B780" s="63"/>
    </row>
    <row r="781">
      <c r="B781" s="63"/>
    </row>
    <row r="782">
      <c r="B782" s="63"/>
    </row>
    <row r="783">
      <c r="B783" s="63"/>
    </row>
    <row r="784">
      <c r="B784" s="63"/>
    </row>
    <row r="785">
      <c r="B785" s="63"/>
    </row>
    <row r="786">
      <c r="B786" s="63"/>
    </row>
    <row r="787">
      <c r="B787" s="63"/>
    </row>
    <row r="788">
      <c r="B788" s="63"/>
    </row>
    <row r="789">
      <c r="B789" s="63"/>
    </row>
    <row r="790">
      <c r="B790" s="63"/>
    </row>
    <row r="791">
      <c r="B791" s="63"/>
    </row>
    <row r="792">
      <c r="B792" s="63"/>
    </row>
    <row r="793">
      <c r="B793" s="63"/>
    </row>
    <row r="794">
      <c r="B794" s="63"/>
    </row>
    <row r="795">
      <c r="B795" s="63"/>
    </row>
    <row r="796">
      <c r="B796" s="63"/>
    </row>
    <row r="797">
      <c r="B797" s="63"/>
    </row>
    <row r="798">
      <c r="B798" s="63"/>
    </row>
    <row r="799">
      <c r="B799" s="63"/>
    </row>
    <row r="800">
      <c r="B800" s="63"/>
    </row>
    <row r="801">
      <c r="B801" s="63"/>
    </row>
    <row r="802">
      <c r="B802" s="63"/>
    </row>
    <row r="803">
      <c r="B803" s="63"/>
    </row>
    <row r="804">
      <c r="B804" s="63"/>
    </row>
    <row r="805">
      <c r="B805" s="63"/>
    </row>
    <row r="806">
      <c r="B806" s="63"/>
    </row>
    <row r="807">
      <c r="B807" s="63"/>
    </row>
    <row r="808">
      <c r="B808" s="63"/>
    </row>
    <row r="809">
      <c r="B809" s="63"/>
    </row>
    <row r="810">
      <c r="B810" s="63"/>
    </row>
    <row r="811">
      <c r="B811" s="63"/>
    </row>
    <row r="812">
      <c r="B812" s="63"/>
    </row>
    <row r="813">
      <c r="B813" s="63"/>
    </row>
    <row r="814">
      <c r="B814" s="63"/>
    </row>
    <row r="815">
      <c r="B815" s="63"/>
    </row>
    <row r="816">
      <c r="B816" s="63"/>
    </row>
    <row r="817">
      <c r="B817" s="63"/>
    </row>
    <row r="818">
      <c r="B818" s="63"/>
    </row>
    <row r="819">
      <c r="B819" s="63"/>
    </row>
    <row r="820">
      <c r="B820" s="63"/>
    </row>
    <row r="821">
      <c r="B821" s="63"/>
    </row>
    <row r="822">
      <c r="B822" s="63"/>
    </row>
    <row r="823">
      <c r="B823" s="63"/>
    </row>
    <row r="824">
      <c r="B824" s="63"/>
    </row>
    <row r="825">
      <c r="B825" s="63"/>
    </row>
    <row r="826">
      <c r="B826" s="63"/>
    </row>
    <row r="827">
      <c r="B827" s="63"/>
    </row>
    <row r="828">
      <c r="B828" s="63"/>
    </row>
    <row r="829">
      <c r="B829" s="63"/>
    </row>
    <row r="830">
      <c r="B830" s="63"/>
    </row>
    <row r="831">
      <c r="B831" s="63"/>
    </row>
    <row r="832">
      <c r="B832" s="63"/>
    </row>
    <row r="833">
      <c r="B833" s="63"/>
    </row>
    <row r="834">
      <c r="B834" s="63"/>
    </row>
    <row r="835">
      <c r="B835" s="63"/>
    </row>
    <row r="836">
      <c r="B836" s="63"/>
    </row>
    <row r="837">
      <c r="B837" s="63"/>
    </row>
    <row r="838">
      <c r="B838" s="63"/>
    </row>
    <row r="839">
      <c r="B839" s="63"/>
    </row>
    <row r="840">
      <c r="B840" s="63"/>
    </row>
    <row r="841">
      <c r="B841" s="63"/>
    </row>
    <row r="842">
      <c r="B842" s="63"/>
    </row>
    <row r="843">
      <c r="B843" s="63"/>
    </row>
    <row r="844">
      <c r="B844" s="63"/>
    </row>
    <row r="845">
      <c r="B845" s="63"/>
    </row>
    <row r="846">
      <c r="B846" s="63"/>
    </row>
    <row r="847">
      <c r="B847" s="63"/>
    </row>
    <row r="848">
      <c r="B848" s="63"/>
    </row>
    <row r="849">
      <c r="B849" s="63"/>
    </row>
    <row r="850">
      <c r="B850" s="63"/>
    </row>
    <row r="851">
      <c r="B851" s="63"/>
    </row>
    <row r="852">
      <c r="B852" s="63"/>
    </row>
    <row r="853">
      <c r="B853" s="63"/>
    </row>
    <row r="854">
      <c r="B854" s="63"/>
    </row>
    <row r="855">
      <c r="B855" s="63"/>
    </row>
    <row r="856">
      <c r="B856" s="63"/>
    </row>
    <row r="857">
      <c r="B857" s="63"/>
    </row>
    <row r="858">
      <c r="B858" s="63"/>
    </row>
    <row r="859">
      <c r="B859" s="63"/>
    </row>
    <row r="860">
      <c r="B860" s="63"/>
    </row>
    <row r="861">
      <c r="B861" s="63"/>
    </row>
    <row r="862">
      <c r="B862" s="63"/>
    </row>
    <row r="863">
      <c r="B863" s="63"/>
    </row>
    <row r="864">
      <c r="B864" s="63"/>
    </row>
    <row r="865">
      <c r="B865" s="63"/>
    </row>
    <row r="866">
      <c r="B866" s="63"/>
    </row>
    <row r="867">
      <c r="B867" s="63"/>
    </row>
    <row r="868">
      <c r="B868" s="63"/>
    </row>
    <row r="869">
      <c r="B869" s="63"/>
    </row>
    <row r="870">
      <c r="B870" s="63"/>
    </row>
    <row r="871">
      <c r="B871" s="63"/>
    </row>
    <row r="872">
      <c r="B872" s="63"/>
    </row>
    <row r="873">
      <c r="B873" s="63"/>
    </row>
    <row r="874">
      <c r="B874" s="63"/>
    </row>
    <row r="875">
      <c r="B875" s="63"/>
    </row>
    <row r="876">
      <c r="B876" s="63"/>
    </row>
    <row r="877">
      <c r="B877" s="63"/>
    </row>
    <row r="878">
      <c r="B878" s="63"/>
    </row>
    <row r="879">
      <c r="B879" s="63"/>
    </row>
    <row r="880">
      <c r="B880" s="63"/>
    </row>
    <row r="881">
      <c r="B881" s="63"/>
    </row>
    <row r="882">
      <c r="B882" s="63"/>
    </row>
    <row r="883">
      <c r="B883" s="63"/>
    </row>
    <row r="884">
      <c r="B884" s="63"/>
    </row>
    <row r="885">
      <c r="B885" s="63"/>
    </row>
    <row r="886">
      <c r="B886" s="63"/>
    </row>
    <row r="887">
      <c r="B887" s="63"/>
    </row>
    <row r="888">
      <c r="B888" s="63"/>
    </row>
    <row r="889">
      <c r="B889" s="63"/>
    </row>
    <row r="890">
      <c r="B890" s="63"/>
    </row>
    <row r="891">
      <c r="B891" s="63"/>
    </row>
    <row r="892">
      <c r="B892" s="63"/>
    </row>
    <row r="893">
      <c r="B893" s="63"/>
    </row>
    <row r="894">
      <c r="B894" s="63"/>
    </row>
    <row r="895">
      <c r="B895" s="63"/>
    </row>
    <row r="896">
      <c r="B896" s="63"/>
    </row>
    <row r="897">
      <c r="B897" s="63"/>
    </row>
    <row r="898">
      <c r="B898" s="63"/>
    </row>
    <row r="899">
      <c r="B899" s="63"/>
    </row>
    <row r="900">
      <c r="B900" s="63"/>
    </row>
    <row r="901">
      <c r="B901" s="63"/>
    </row>
    <row r="902">
      <c r="B902" s="63"/>
    </row>
    <row r="903">
      <c r="B903" s="63"/>
    </row>
    <row r="904">
      <c r="B904" s="63"/>
    </row>
    <row r="905">
      <c r="B905" s="63"/>
    </row>
    <row r="906">
      <c r="B906" s="63"/>
    </row>
    <row r="907">
      <c r="B907" s="63"/>
    </row>
    <row r="908">
      <c r="B908" s="63"/>
    </row>
    <row r="909">
      <c r="B909" s="63"/>
    </row>
    <row r="910">
      <c r="B910" s="63"/>
    </row>
    <row r="911">
      <c r="B911" s="63"/>
    </row>
    <row r="912">
      <c r="B912" s="63"/>
    </row>
    <row r="913">
      <c r="B913" s="63"/>
    </row>
    <row r="914">
      <c r="B914" s="63"/>
    </row>
    <row r="915">
      <c r="B915" s="63"/>
    </row>
    <row r="916">
      <c r="B916" s="63"/>
    </row>
    <row r="917">
      <c r="B917" s="63"/>
    </row>
    <row r="918">
      <c r="B918" s="63"/>
    </row>
    <row r="919">
      <c r="B919" s="63"/>
    </row>
    <row r="920">
      <c r="B920" s="63"/>
    </row>
    <row r="921">
      <c r="B921" s="63"/>
    </row>
    <row r="922">
      <c r="B922" s="63"/>
    </row>
    <row r="923">
      <c r="B923" s="63"/>
    </row>
    <row r="924">
      <c r="B924" s="63"/>
    </row>
    <row r="925">
      <c r="B925" s="63"/>
    </row>
    <row r="926">
      <c r="B926" s="63"/>
    </row>
    <row r="927">
      <c r="B927" s="63"/>
    </row>
    <row r="928">
      <c r="B928" s="63"/>
    </row>
    <row r="929">
      <c r="B929" s="63"/>
    </row>
    <row r="930">
      <c r="B930" s="63"/>
    </row>
    <row r="931">
      <c r="B931" s="63"/>
    </row>
    <row r="932">
      <c r="B932" s="63"/>
    </row>
    <row r="933">
      <c r="B933" s="63"/>
    </row>
    <row r="934">
      <c r="B934" s="63"/>
    </row>
    <row r="935">
      <c r="B935" s="63"/>
    </row>
    <row r="936">
      <c r="B936" s="63"/>
    </row>
    <row r="937">
      <c r="B937" s="63"/>
    </row>
    <row r="938">
      <c r="B938" s="63"/>
    </row>
    <row r="939">
      <c r="B939" s="63"/>
    </row>
    <row r="940">
      <c r="B940" s="63"/>
    </row>
    <row r="941">
      <c r="B941" s="63"/>
    </row>
    <row r="942">
      <c r="B942" s="63"/>
    </row>
    <row r="943">
      <c r="B943" s="63"/>
    </row>
    <row r="944">
      <c r="B944" s="63"/>
    </row>
    <row r="945">
      <c r="B945" s="63"/>
    </row>
    <row r="946">
      <c r="B946" s="63"/>
    </row>
    <row r="947">
      <c r="B947" s="63"/>
    </row>
    <row r="948">
      <c r="B948" s="63"/>
    </row>
    <row r="949">
      <c r="B949" s="63"/>
    </row>
    <row r="950">
      <c r="B950" s="63"/>
    </row>
    <row r="951">
      <c r="B951" s="63"/>
    </row>
    <row r="952">
      <c r="B952" s="63"/>
    </row>
    <row r="953">
      <c r="B953" s="63"/>
    </row>
    <row r="954">
      <c r="B954" s="63"/>
    </row>
    <row r="955">
      <c r="B955" s="63"/>
    </row>
    <row r="956">
      <c r="B956" s="63"/>
    </row>
    <row r="957">
      <c r="B957" s="63"/>
    </row>
    <row r="958">
      <c r="B958" s="63"/>
    </row>
    <row r="959">
      <c r="B959" s="63"/>
    </row>
    <row r="960">
      <c r="B960" s="63"/>
    </row>
    <row r="961">
      <c r="B961" s="63"/>
    </row>
    <row r="962">
      <c r="B962" s="63"/>
    </row>
    <row r="963">
      <c r="B963" s="63"/>
    </row>
    <row r="964">
      <c r="B964" s="63"/>
    </row>
    <row r="965">
      <c r="B965" s="63"/>
    </row>
    <row r="966">
      <c r="B966" s="63"/>
    </row>
    <row r="967">
      <c r="B967" s="63"/>
    </row>
    <row r="968">
      <c r="B968" s="63"/>
    </row>
    <row r="969">
      <c r="B969" s="63"/>
    </row>
    <row r="970">
      <c r="B970" s="63"/>
    </row>
    <row r="971">
      <c r="B971" s="63"/>
    </row>
    <row r="972">
      <c r="B972" s="63"/>
    </row>
    <row r="973">
      <c r="B973" s="63"/>
    </row>
    <row r="974">
      <c r="B974" s="63"/>
    </row>
    <row r="975">
      <c r="B975" s="63"/>
    </row>
    <row r="976">
      <c r="B976" s="63"/>
    </row>
    <row r="977">
      <c r="B977" s="63"/>
    </row>
    <row r="978">
      <c r="B978" s="63"/>
    </row>
    <row r="979">
      <c r="B979" s="63"/>
    </row>
    <row r="980">
      <c r="B980" s="63"/>
    </row>
    <row r="981">
      <c r="B981" s="63"/>
    </row>
    <row r="982">
      <c r="B982" s="63"/>
    </row>
    <row r="983">
      <c r="B983" s="63"/>
    </row>
    <row r="984">
      <c r="B984" s="63"/>
    </row>
    <row r="985">
      <c r="B985" s="63"/>
    </row>
    <row r="986">
      <c r="B986" s="63"/>
    </row>
    <row r="987">
      <c r="B987" s="63"/>
    </row>
    <row r="988">
      <c r="B988" s="63"/>
    </row>
    <row r="989">
      <c r="B989" s="63"/>
    </row>
    <row r="990">
      <c r="B990" s="63"/>
    </row>
    <row r="991">
      <c r="B991" s="63"/>
    </row>
    <row r="992">
      <c r="B992" s="63"/>
    </row>
    <row r="993">
      <c r="B993" s="63"/>
    </row>
    <row r="994">
      <c r="B994" s="63"/>
    </row>
    <row r="995">
      <c r="B995" s="63"/>
    </row>
    <row r="996">
      <c r="B996" s="63"/>
    </row>
    <row r="997">
      <c r="B997" s="63"/>
    </row>
    <row r="998">
      <c r="B998" s="63"/>
    </row>
    <row r="999">
      <c r="B999" s="63"/>
    </row>
    <row r="1000">
      <c r="B1000" s="63"/>
    </row>
    <row r="1001">
      <c r="B1001" s="63"/>
    </row>
  </sheetData>
  <drawing r:id="rId1"/>
</worksheet>
</file>